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據點歷年遊客量" sheetId="1" r:id="rId5"/>
    <sheet state="hidden" name="統計圖表" sheetId="2" r:id="rId6"/>
    <sheet state="visible" name="各年月總遊客量" sheetId="3" r:id="rId7"/>
    <sheet state="visible" name="綠島遊憩區" sheetId="4" r:id="rId8"/>
    <sheet state="visible" name="東部海岸富岡地質公園及加路蘭休憩區" sheetId="5" r:id="rId9"/>
    <sheet state="visible" name="水往上流遊憩區(113年起停計)" sheetId="6" r:id="rId10"/>
    <sheet state="visible" name="都蘭遊憩區及周邊地區" sheetId="7" r:id="rId11"/>
    <sheet state="visible" name="都歷處本部" sheetId="8" r:id="rId12"/>
    <sheet state="visible" name="三仙台遊憩區及周邊地區" sheetId="9" r:id="rId13"/>
    <sheet state="visible" name="八仙洞遊憩區" sheetId="10" r:id="rId14"/>
    <sheet state="visible" name="秀姑巒溪遊客中心園區" sheetId="11" r:id="rId15"/>
    <sheet state="visible" name="石梯坪遊憩區" sheetId="12" r:id="rId16"/>
    <sheet state="visible" name="磯崎海濱遊憩區(113年起停計)" sheetId="13" r:id="rId17"/>
    <sheet state="visible" name="花蓮海洋公園" sheetId="14" r:id="rId18"/>
    <sheet state="visible" name="豐濱鄉親不知子海上古道及周邊地區" sheetId="15" r:id="rId19"/>
    <sheet state="visible" name="花蓮遊客中心園區" sheetId="16" r:id="rId20"/>
  </sheets>
  <definedNames>
    <definedName name="分析據點">'據點歷年遊客量'!$B$3:$N$3</definedName>
    <definedName name="月份">'綠島遊憩區'!$A$5:$A$16</definedName>
    <definedName name="年份">'據點歷年遊客量'!$A$5:$A$47</definedName>
  </definedNames>
  <calcPr/>
</workbook>
</file>

<file path=xl/sharedStrings.xml><?xml version="1.0" encoding="utf-8"?>
<sst xmlns="http://schemas.openxmlformats.org/spreadsheetml/2006/main" count="273" uniqueCount="169">
  <si>
    <t>綠島遊憩區</t>
  </si>
  <si>
    <t>東部海岸富岡地質公園及加路蘭休憩區</t>
  </si>
  <si>
    <t>水往上流遊憩區</t>
  </si>
  <si>
    <t>都蘭遊憩區及周邊地區</t>
  </si>
  <si>
    <t>都歷處本部</t>
  </si>
  <si>
    <t>三仙台遊憩區及周邊地區</t>
  </si>
  <si>
    <t>八仙洞遊憩區</t>
  </si>
  <si>
    <t>秀姑巒溪遊客中心園區</t>
  </si>
  <si>
    <t>石梯坪遊憩區</t>
  </si>
  <si>
    <t>磯崎海濱遊憩區</t>
  </si>
  <si>
    <t>花蓮海洋公園</t>
  </si>
  <si>
    <t>豐濱鄉親不知子海上古道及周邊地區</t>
  </si>
  <si>
    <t>花蓮遊客中心園區</t>
  </si>
  <si>
    <r>
      <rPr>
        <rFont val="Microsoft JhengHei"/>
        <b/>
        <color rgb="FF000000"/>
        <sz val="9.0"/>
      </rPr>
      <t>合</t>
    </r>
    <r>
      <rPr>
        <rFont val="Microsoft JhengHei"/>
        <b/>
        <color rgb="FF000000"/>
        <sz val="9.0"/>
      </rPr>
      <t xml:space="preserve">    </t>
    </r>
    <r>
      <rPr>
        <rFont val="Microsoft JhengHei"/>
        <b/>
        <color rgb="FF000000"/>
        <sz val="9.0"/>
      </rPr>
      <t>計</t>
    </r>
  </si>
  <si>
    <t>成長率</t>
  </si>
  <si>
    <t>國立海洋生物展覽館</t>
  </si>
  <si>
    <t>每人每日平均消費</t>
  </si>
  <si>
    <t>平均停留天數</t>
  </si>
  <si>
    <t>每人平均旅遊據點數</t>
  </si>
  <si>
    <t>每人平均旅遊據點數(綠島)</t>
  </si>
  <si>
    <t>全區推估遊客量(有另加計國立海洋生物展覽館)</t>
  </si>
  <si>
    <t>國際觀光客比率</t>
  </si>
  <si>
    <t>國際觀光客推估人數</t>
  </si>
  <si>
    <t>078</t>
  </si>
  <si>
    <t>079</t>
  </si>
  <si>
    <t>080</t>
  </si>
  <si>
    <t>081</t>
  </si>
  <si>
    <t>082</t>
  </si>
  <si>
    <t>083</t>
  </si>
  <si>
    <t>084</t>
  </si>
  <si>
    <t>085</t>
  </si>
  <si>
    <t>086</t>
  </si>
  <si>
    <t>087</t>
  </si>
  <si>
    <t>088</t>
  </si>
  <si>
    <t>089</t>
  </si>
  <si>
    <t>090</t>
  </si>
  <si>
    <t>091</t>
  </si>
  <si>
    <t>092</t>
  </si>
  <si>
    <t>093</t>
  </si>
  <si>
    <t>094</t>
  </si>
  <si>
    <t>095</t>
  </si>
  <si>
    <t>096</t>
  </si>
  <si>
    <t>097</t>
  </si>
  <si>
    <t>098</t>
  </si>
  <si>
    <t>099</t>
  </si>
  <si>
    <t>合計</t>
  </si>
  <si>
    <t>平均年成長率</t>
  </si>
  <si>
    <t>平均</t>
  </si>
  <si>
    <t>備註：</t>
  </si>
  <si>
    <t>一、本處於81.03.01接管小野柳遊憩區，81.06.29接管八仙洞遊憩區。小野柳、三仙台、八仙洞三處遊客量統計方式  以停車場停車數換算遊客數。
        105年起小野柳遊憩區以停車費收入加上加路蘭遊憩區停車數量概估計算。</t>
  </si>
  <si>
    <r>
      <rPr>
        <rFont val="Microsoft JhengHei"/>
        <color theme="1"/>
        <sz val="9.0"/>
      </rPr>
      <t>二、本處於</t>
    </r>
    <r>
      <rPr>
        <rFont val="Microsoft JhengHei"/>
        <color rgb="FF000000"/>
        <sz val="9.0"/>
      </rPr>
      <t>79.05.01受東縣府委託管理杉原海水浴場，開放時間，每年五月至九月，遊客量統計方式以門票數計算遊客數。88.06.01委外經營；92.12.31經營期滿歸還台東縣政府；
         93.06.01-93.09.30又受台東縣府委託代管4個月，縣府於93.10月再收回；95年因BOT案建置中暫停列入統計。</t>
    </r>
  </si>
  <si>
    <r>
      <rPr>
        <rFont val="Microsoft JhengHei"/>
        <color theme="1"/>
        <sz val="9.0"/>
      </rPr>
      <t>三、綠島遊憩區於</t>
    </r>
    <r>
      <rPr>
        <rFont val="Microsoft JhengHei"/>
        <color rgb="FF000000"/>
        <sz val="9.0"/>
      </rPr>
      <t>79.02納入本風景區範圍。其遊客量統計方式是以海空運入境人數加總計算遊客數。</t>
    </r>
  </si>
  <si>
    <r>
      <rPr>
        <rFont val="Microsoft JhengHei"/>
        <color theme="1"/>
        <sz val="9.0"/>
      </rPr>
      <t>四、本處於</t>
    </r>
    <r>
      <rPr>
        <rFont val="Microsoft JhengHei"/>
        <color rgb="FF000000"/>
        <sz val="9.0"/>
      </rPr>
      <t>80.05.01接管秀姑巒溪泛舟中心，以購買泛舟券數計算遊客數，95.4.3泛舟停止收費，改以停車場停車數計算遊客數。</t>
    </r>
  </si>
  <si>
    <r>
      <rPr>
        <rFont val="Microsoft JhengHei"/>
        <color theme="1"/>
        <sz val="9.0"/>
      </rPr>
      <t>五、</t>
    </r>
    <r>
      <rPr>
        <rFont val="Microsoft JhengHei"/>
        <color rgb="FF000000"/>
        <sz val="9.0"/>
      </rPr>
      <t xml:space="preserve">87.01.01起實施隔週休二日制；90.01.01起實施週休二日制；97.7.18開放陸客來台觀光。 </t>
    </r>
  </si>
  <si>
    <r>
      <rPr>
        <rFont val="Microsoft JhengHei"/>
        <color theme="1"/>
        <sz val="9.0"/>
      </rPr>
      <t>六、</t>
    </r>
    <r>
      <rPr>
        <rFont val="Microsoft JhengHei"/>
        <color rgb="FF000000"/>
        <sz val="9.0"/>
      </rPr>
      <t>89年納入統計都歷處本部、石梯坪遊憩區、磯崎海水浴場及花蓮站等4個據點遊客數。</t>
    </r>
  </si>
  <si>
    <t>七、都歷處本部遊客數是以參觀遊客中心人數做統計，101.9-102.11因辦理展示室更新工程暫停開放。102.12重新開放。</t>
  </si>
  <si>
    <r>
      <rPr>
        <rFont val="Microsoft JhengHei"/>
        <color theme="1"/>
        <sz val="9.0"/>
      </rPr>
      <t>八、石梯坪遊憩區包括北迴歸線、長虹橋、石梯坪及石門等</t>
    </r>
    <r>
      <rPr>
        <rFont val="Microsoft JhengHei"/>
        <color rgb="FF000000"/>
        <sz val="9.0"/>
      </rPr>
      <t>4個遊憩據點；遊客量統計方式係每日分3個時段至4據點停車場點算停車數，以停車場停車數計算遊客數。為避免重複計算，101年2月起
         以北回歸線及石梯坪露營工作服務站之停車數換算為遊客數。104年起石梯坪遊憩區遊客量改以該區單一據點停車場停車數計算遊客數。</t>
    </r>
  </si>
  <si>
    <t>九、磯崎海水浴場遊客數統計方式是以購買門票數計算遊客數。103年3月至104年7月整修。</t>
  </si>
  <si>
    <t>十、花蓮管理站遊客數統計方式以停車場停車數換算遊客數。</t>
  </si>
  <si>
    <r>
      <rPr>
        <rFont val="Microsoft JhengHei"/>
        <color theme="1"/>
        <sz val="9.0"/>
      </rPr>
      <t>十一、花蓮海洋公園於</t>
    </r>
    <r>
      <rPr>
        <rFont val="Microsoft JhengHei"/>
        <color rgb="FF000000"/>
        <sz val="9.0"/>
      </rPr>
      <t>91.12.14開幕；92.01月起納入統計，請園方提供遊客數。</t>
    </r>
  </si>
  <si>
    <t>十二、89年前停車數換算為遊客數基準為大客車以40人計、小客車以4人計、機車以2人計（87.9.1納算機車遊客數）；90-91年基準為大客車以35人計、小客車以2.25人計、機車以1.34人計；
            92年以後基準為大客車平日以33人計、假日以36人計，小客車以2.2人計、機車以1.38人計。104年大客車平常日以30人計、假日以31人計，小客車以2.4人，機車以1.27人計。
            105年起大客車平常日以29人計、假日以30人計，小客車以2.4人，機車以1.21人計。(依據觀光局民國107年主要觀光遊憩據點遊客人數統計作業準則辦理)。</t>
  </si>
  <si>
    <t>十三、105年起水往上流遊憩區納入統計，統計方式為以停車數量概估。</t>
  </si>
  <si>
    <t>十四、自112年4月起，共5個景區調整遊客人數統計方法，包含花蓮縣石梯坪、花蓮管理站遊客中心、臺東縣三仙台、八仙洞、都歷處本部，原以停車數概估，改以智慧景區自動車流監視系統數據填報。</t>
  </si>
  <si>
    <t>十五、113年起調整觀光遊憩據點及遊客人數統計方式：</t>
  </si>
  <si>
    <t xml:space="preserve">           (一) 刪除原「磯崎海濱遊憩區」與「水往上流遊憩區」，新增「都蘭遊憩區及周邊地區」。</t>
  </si>
  <si>
    <t xml:space="preserve">           (二) 原「小野柳遊憩區」更新為「東部海岸富岡地質公園及加路蘭休憩區」；原「親不知子天空步道」與「三仙台遊憩區」更新為涵蓋範圍較廣的「豐濱鄉親不知子海上古道及周邊地區」及
                「三仙台遊憩區及周邊地區」。</t>
  </si>
  <si>
    <t xml:space="preserve">           (三) 以「電信大數據」統計之據點：秀姑巒溪遊客中心園區、石梯坪遊憩區、花蓮遊客中心園區、豐濱鄉親不知子海上古道及周邊地區、東部海岸富岡地質公園及加路蘭休憩區、三仙台遊憩區
                  及周邊地區、八仙洞遊憩區、都歷處本部、都蘭遊憩區及周邊地區等9處。</t>
  </si>
  <si>
    <t xml:space="preserve">           (四) 以「門票數」統計之據點：花蓮海洋公園。</t>
  </si>
  <si>
    <t xml:space="preserve">           (五) 以「海、空運入境人數」統計之據點:綠島遊憩區。</t>
  </si>
  <si>
    <t>十六、因「豐濱鄉親不知子海上古道及周邊地區」、「三仙台遊憩區及周邊地區」及「東部海岸富岡地質公園暨加路蘭休憩區」等3處統計範圍改變，並新增「都蘭遊憩區及周邊地區」1處，爰前述
            4處無去年統計數據作參考值。</t>
  </si>
  <si>
    <t>分析區間(年)：</t>
  </si>
  <si>
    <t>起始年</t>
  </si>
  <si>
    <t>終年</t>
  </si>
  <si>
    <r>
      <rPr>
        <rFont val="PMingLiu"/>
        <color rgb="FF000000"/>
        <sz val="12.0"/>
      </rPr>
      <t xml:space="preserve">分析據點1：
</t>
    </r>
    <r>
      <rPr>
        <rFont val="新細明體"/>
        <color rgb="FFFF0000"/>
        <sz val="8.0"/>
      </rPr>
      <t>(欲全區分析，留空白即可)</t>
    </r>
  </si>
  <si>
    <r>
      <rPr>
        <rFont val="PMingLiu"/>
        <color rgb="FF000000"/>
        <sz val="12.0"/>
      </rPr>
      <t xml:space="preserve">分析據點2：
</t>
    </r>
    <r>
      <rPr>
        <rFont val="新細明體"/>
        <color rgb="FFFF0000"/>
        <sz val="8.0"/>
      </rPr>
      <t>(請依序選擇)</t>
    </r>
  </si>
  <si>
    <r>
      <rPr>
        <rFont val="PMingLiu"/>
        <color rgb="FF000000"/>
        <sz val="12.0"/>
      </rPr>
      <t xml:space="preserve">分析據點3：
</t>
    </r>
    <r>
      <rPr>
        <rFont val="新細明體"/>
        <color rgb="FFFF0000"/>
        <sz val="8.0"/>
      </rPr>
      <t>(請依序選擇)</t>
    </r>
  </si>
  <si>
    <r>
      <rPr>
        <rFont val="PMingLiu"/>
        <color rgb="FF000000"/>
        <sz val="12.0"/>
      </rPr>
      <t xml:space="preserve">分析據點4：
</t>
    </r>
    <r>
      <rPr>
        <rFont val="新細明體"/>
        <color rgb="FFFF0000"/>
        <sz val="8.0"/>
      </rPr>
      <t>(請依序選擇)</t>
    </r>
  </si>
  <si>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東海岸管理處歷年每月總遊客量統計表</t>
    </r>
  </si>
  <si>
    <r>
      <rPr>
        <rFont val="Microsoft JhengHei"/>
        <color rgb="FF000000"/>
        <sz val="12.0"/>
      </rPr>
      <t xml:space="preserve">                                                                                                                                                                                                                              </t>
    </r>
    <r>
      <rPr>
        <rFont val="Microsoft JhengHei"/>
        <color rgb="FF000000"/>
        <sz val="12.0"/>
      </rPr>
      <t>單位：人</t>
    </r>
  </si>
  <si>
    <t>年</t>
  </si>
  <si>
    <t>月份</t>
  </si>
  <si>
    <t>01</t>
  </si>
  <si>
    <t>02</t>
  </si>
  <si>
    <t>03</t>
  </si>
  <si>
    <t>04</t>
  </si>
  <si>
    <t>05</t>
  </si>
  <si>
    <t>06</t>
  </si>
  <si>
    <t>07</t>
  </si>
  <si>
    <t>08</t>
  </si>
  <si>
    <t>09</t>
  </si>
  <si>
    <t>第一季</t>
  </si>
  <si>
    <t>第二季</t>
  </si>
  <si>
    <t>第三季</t>
  </si>
  <si>
    <t>第四季</t>
  </si>
  <si>
    <t>上半年</t>
  </si>
  <si>
    <t>下半年</t>
  </si>
  <si>
    <t>花蓮地區</t>
  </si>
  <si>
    <t>台東地區</t>
  </si>
  <si>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綠島遊憩區遊憩區歷年每月遊客量統計表</t>
    </r>
  </si>
  <si>
    <r>
      <rPr>
        <rFont val="Microsoft JhengHei"/>
        <color rgb="FF000000"/>
        <sz val="12.0"/>
      </rPr>
      <t xml:space="preserve">                                                                                                                                                                                                                              </t>
    </r>
    <r>
      <rPr>
        <rFont val="Microsoft JhengHei"/>
        <color rgb="FF000000"/>
        <sz val="12.0"/>
      </rPr>
      <t>單位：人</t>
    </r>
  </si>
  <si>
    <t>註：一、綠島於79.02.20納入本風景區範圍，本處於同年7月正式接管。</t>
  </si>
  <si>
    <r>
      <rPr>
        <rFont val="Microsoft JhengHei"/>
        <color rgb="FF000000"/>
        <sz val="12.0"/>
      </rPr>
      <t xml:space="preserve">        </t>
    </r>
    <r>
      <rPr>
        <rFont val="Microsoft JhengHei"/>
        <color rgb="FF000000"/>
        <sz val="12.0"/>
      </rPr>
      <t>二、遊客量統計方式，以海空運入境人數總合計算遊客數。</t>
    </r>
  </si>
  <si>
    <t>1-2月</t>
  </si>
  <si>
    <r>
      <rPr>
        <rFont val="Microsoft JhengHei"/>
        <color rgb="FF000000"/>
        <sz val="12.0"/>
      </rPr>
      <t xml:space="preserve">        </t>
    </r>
    <r>
      <rPr>
        <rFont val="Microsoft JhengHei"/>
        <color rgb="FF000000"/>
        <sz val="12.0"/>
      </rPr>
      <t>三、最適當旅遊期間為天候最穩定之</t>
    </r>
    <r>
      <rPr>
        <rFont val="Microsoft JhengHei"/>
        <color rgb="FF000000"/>
        <sz val="12.0"/>
      </rPr>
      <t>4-9</t>
    </r>
    <r>
      <rPr>
        <rFont val="Microsoft JhengHei"/>
        <color rgb="FF000000"/>
        <sz val="12.0"/>
      </rPr>
      <t>月。</t>
    </r>
  </si>
  <si>
    <t>3-7月</t>
  </si>
  <si>
    <t xml:space="preserve"> </t>
  </si>
  <si>
    <t>東部海岸富岡地質公園及加路蘭休憩區年每月遊客量統計表</t>
  </si>
  <si>
    <r>
      <rPr>
        <rFont val="Microsoft JhengHei"/>
        <color rgb="FF000000"/>
        <sz val="12.0"/>
      </rPr>
      <t xml:space="preserve">                                                                                                                                                                                                                              </t>
    </r>
    <r>
      <rPr>
        <rFont val="Microsoft JhengHei"/>
        <color rgb="FF000000"/>
        <sz val="12.0"/>
      </rPr>
      <t>單位：人</t>
    </r>
  </si>
  <si>
    <r>
      <rPr>
        <rFont val="Microsoft JhengHei"/>
        <color rgb="FF000000"/>
        <sz val="12.0"/>
      </rPr>
      <t>註：一、本處於</t>
    </r>
    <r>
      <rPr>
        <rFont val="Microsoft JhengHei"/>
        <color rgb="FF000000"/>
        <sz val="12.0"/>
      </rPr>
      <t>81.03.01</t>
    </r>
    <r>
      <rPr>
        <rFont val="Microsoft JhengHei"/>
        <color rgb="FF000000"/>
        <sz val="12.0"/>
      </rPr>
      <t>接管小野柳。</t>
    </r>
  </si>
  <si>
    <r>
      <rPr>
        <rFont val="Microsoft JhengHei"/>
        <color rgb="FF000000"/>
        <sz val="12.0"/>
      </rPr>
      <t xml:space="preserve">        </t>
    </r>
    <r>
      <rPr>
        <rFont val="Microsoft JhengHei"/>
        <color rgb="FF000000"/>
        <sz val="12.0"/>
      </rPr>
      <t>二、</t>
    </r>
    <r>
      <rPr>
        <rFont val="Microsoft JhengHei"/>
        <color rgb="FF000000"/>
        <sz val="12.0"/>
      </rPr>
      <t>86.02.14-86.10.02</t>
    </r>
    <r>
      <rPr>
        <rFont val="Microsoft JhengHei"/>
        <color rgb="FF000000"/>
        <sz val="12.0"/>
      </rPr>
      <t>增建北側停車場，完工啟用後，使八十七年起遊客量開始激增。</t>
    </r>
  </si>
  <si>
    <t xml:space="preserve">        三、89年前停車數換算為遊客數基準為大客車以40人計、小客車以4人計、機車以2人計（87.9.1納算機車遊客數）；90-91年基準為大客車以35人計、小客車以2.25人計、
                機車以1.34人計；92年以後基準為大客車平日以33人計、假日以36人計，小客車以2.2人計、機車以1.38人計。104年起大客車平常日以30人計、假日以31人計，
                小客車以2.4人，機車以1.27人計。(依據觀光局民國88年台閩地區主要觀光遊憩據點遊客人數統計作業準則辦理)。</t>
  </si>
  <si>
    <t xml:space="preserve">        四、105年起小野柳遊憩區以停車費收入加上加路蘭遊憩區停車數量概估計算。</t>
  </si>
  <si>
    <t xml:space="preserve">        五、113年起原「小野柳遊憩區」統計範圍改變，並更新名稱為「東部海岸富岡地質公園及加路蘭休憩區」</t>
  </si>
  <si>
    <t xml:space="preserve">        六、113年起以觀光電信大數據統計。</t>
  </si>
  <si>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水往上流遊憩區歷年每月遊客量統計表</t>
    </r>
  </si>
  <si>
    <r>
      <rPr>
        <rFont val="Microsoft JhengHei"/>
        <color rgb="FF000000"/>
        <sz val="12.0"/>
      </rPr>
      <t xml:space="preserve">                                                                                                                                                                                                                              </t>
    </r>
    <r>
      <rPr>
        <rFont val="Microsoft JhengHei"/>
        <color rgb="FF000000"/>
        <sz val="12.0"/>
      </rPr>
      <t>單位：人</t>
    </r>
  </si>
  <si>
    <t>註：一、105年起水往上流遊憩區納入統計，統計方式為以停車數量概估。</t>
  </si>
  <si>
    <t xml:space="preserve">        二、89年前停車數換算為遊客數基準為大客車以40人計、小客車以4人計、機車以2人計（87.9.1納算機車遊客數）；90-91年基準為大客車以35人計、小客車以2.25人計、機車以1.34人計；
                92年以後基準為大客車平日以33人計、假日以36人計，小客車以2.2人計、機車以1.38人計。104年起大客車平常日以30人計、假日以31人計，小客車以2.4人，機車以1.27人計。
                (依據觀光局民國88年台閩地區主要觀光遊憩據點遊客人數統計作業準則辦理)。</t>
  </si>
  <si>
    <t xml:space="preserve">        三、113年起併入都蘭遊憩區及周邊地區(電信大數據)，本據點停計。</t>
  </si>
  <si>
    <t>都蘭遊憩區及周邊地區歷年每月遊客量統計表</t>
  </si>
  <si>
    <r>
      <rPr>
        <rFont val="Microsoft JhengHei"/>
        <color rgb="FF000000"/>
        <sz val="12.0"/>
      </rPr>
      <t xml:space="preserve">                                                                                                                                                                                                                              </t>
    </r>
    <r>
      <rPr>
        <rFont val="Microsoft JhengHei"/>
        <color rgb="FF000000"/>
        <sz val="12.0"/>
      </rPr>
      <t>單位：人</t>
    </r>
  </si>
  <si>
    <t>註：一、 113年起取代原「水往上流遊憩區」，新增涵蓋範圍較廣的「都蘭遊憩區及周邊地區」，並以觀光電信大數據統計。</t>
  </si>
  <si>
    <t>都歷處本部歷年每月遊客量統計表</t>
  </si>
  <si>
    <r>
      <rPr>
        <rFont val="Microsoft JhengHei"/>
        <color rgb="FF000000"/>
        <sz val="12.0"/>
      </rPr>
      <t xml:space="preserve">                                                                                                                                                                                                                              </t>
    </r>
    <r>
      <rPr>
        <rFont val="Microsoft JhengHei"/>
        <color rgb="FF000000"/>
        <sz val="12.0"/>
      </rPr>
      <t>單位：人</t>
    </r>
  </si>
  <si>
    <r>
      <rPr>
        <rFont val="Microsoft JhengHei"/>
        <color rgb="FF000000"/>
        <sz val="12.0"/>
      </rPr>
      <t>註：一、</t>
    </r>
    <r>
      <rPr>
        <rFont val="Microsoft JhengHei"/>
        <color rgb="FF000000"/>
        <sz val="12.0"/>
      </rPr>
      <t>89</t>
    </r>
    <r>
      <rPr>
        <rFont val="Microsoft JhengHei"/>
        <color rgb="FF000000"/>
        <sz val="12.0"/>
      </rPr>
      <t>年起納入全區遊客量統計。</t>
    </r>
  </si>
  <si>
    <r>
      <rPr>
        <rFont val="Microsoft JhengHei"/>
        <color rgb="FF000000"/>
        <sz val="12.0"/>
      </rPr>
      <t xml:space="preserve">        </t>
    </r>
    <r>
      <rPr>
        <rFont val="Microsoft JhengHei"/>
        <color rgb="FF000000"/>
        <sz val="12.0"/>
      </rPr>
      <t>二、都歷處本部遊客數是以參觀遊客中心人數做統計，</t>
    </r>
    <r>
      <rPr>
        <rFont val="Microsoft JhengHei"/>
        <color rgb="FF000000"/>
        <sz val="12.0"/>
      </rPr>
      <t>101.9-102.11</t>
    </r>
    <r>
      <rPr>
        <rFont val="Microsoft JhengHei"/>
        <color rgb="FF000000"/>
        <sz val="12.0"/>
      </rPr>
      <t>因辦理展示室更新工程暫停開放。</t>
    </r>
    <r>
      <rPr>
        <rFont val="Microsoft JhengHei"/>
        <color rgb="FF000000"/>
        <sz val="12.0"/>
      </rPr>
      <t>102.12</t>
    </r>
    <r>
      <rPr>
        <rFont val="Microsoft JhengHei"/>
        <color rgb="FF000000"/>
        <sz val="12.0"/>
      </rPr>
      <t>重新開放。</t>
    </r>
  </si>
  <si>
    <r>
      <rPr>
        <rFont val="Microsoft JhengHei"/>
        <color rgb="FF000000"/>
        <sz val="12.0"/>
      </rPr>
      <t xml:space="preserve">        </t>
    </r>
    <r>
      <rPr>
        <rFont val="Microsoft JhengHei"/>
        <color rgb="FF000000"/>
        <sz val="12.0"/>
      </rPr>
      <t>三、</t>
    </r>
    <r>
      <rPr>
        <rFont val="Microsoft JhengHei"/>
        <color rgb="FF000000"/>
        <sz val="12.0"/>
      </rPr>
      <t>109</t>
    </r>
    <r>
      <rPr>
        <rFont val="Microsoft JhengHei"/>
        <color rgb="FF000000"/>
        <sz val="12.0"/>
      </rPr>
      <t>年起改以停車數換算為遊客數，基準為</t>
    </r>
    <r>
      <rPr>
        <rFont val="Microsoft JhengHei"/>
        <color rgb="FF000000"/>
        <sz val="12.0"/>
      </rPr>
      <t>大客車平常日以</t>
    </r>
    <r>
      <rPr>
        <rFont val="Microsoft JhengHei"/>
        <color rgb="FF000000"/>
        <sz val="12.0"/>
      </rPr>
      <t>30</t>
    </r>
    <r>
      <rPr>
        <rFont val="Microsoft JhengHei"/>
        <color rgb="FF000000"/>
        <sz val="12.0"/>
      </rPr>
      <t>人計、假日以</t>
    </r>
    <r>
      <rPr>
        <rFont val="Microsoft JhengHei"/>
        <color rgb="FF000000"/>
        <sz val="12.0"/>
      </rPr>
      <t>31</t>
    </r>
    <r>
      <rPr>
        <rFont val="Microsoft JhengHei"/>
        <color rgb="FF000000"/>
        <sz val="12.0"/>
      </rPr>
      <t>人計，小客車以</t>
    </r>
    <r>
      <rPr>
        <rFont val="Microsoft JhengHei"/>
        <color rgb="FF000000"/>
        <sz val="12.0"/>
      </rPr>
      <t>2.4</t>
    </r>
    <r>
      <rPr>
        <rFont val="Microsoft JhengHei"/>
        <color rgb="FF000000"/>
        <sz val="12.0"/>
      </rPr>
      <t>人，機車以</t>
    </r>
    <r>
      <rPr>
        <rFont val="Microsoft JhengHei"/>
        <color rgb="FF000000"/>
        <sz val="12.0"/>
      </rPr>
      <t>1.27</t>
    </r>
    <r>
      <rPr>
        <rFont val="Microsoft JhengHei"/>
        <color rgb="FF000000"/>
        <sz val="12.0"/>
      </rPr>
      <t>人計。</t>
    </r>
    <r>
      <rPr>
        <rFont val="Microsoft JhengHei"/>
        <color rgb="FF000000"/>
        <sz val="12.0"/>
      </rPr>
      <t>(</t>
    </r>
    <r>
      <rPr>
        <rFont val="Microsoft JhengHei"/>
        <color rgb="FF000000"/>
        <sz val="12.0"/>
      </rPr>
      <t>依據觀光局民國</t>
    </r>
    <r>
      <rPr>
        <rFont val="Microsoft JhengHei"/>
        <color rgb="FF000000"/>
        <sz val="12.0"/>
      </rPr>
      <t>88</t>
    </r>
    <r>
      <rPr>
        <rFont val="Microsoft JhengHei"/>
        <color rgb="FF000000"/>
        <sz val="12.0"/>
      </rPr>
      <t>年台閩地區主要觀光遊憩據點遊客人數統計作業準則辦理</t>
    </r>
    <r>
      <rPr>
        <rFont val="Microsoft JhengHei"/>
        <color rgb="FF000000"/>
        <sz val="12.0"/>
      </rPr>
      <t>)</t>
    </r>
    <r>
      <rPr>
        <rFont val="Microsoft JhengHei"/>
        <color rgb="FF000000"/>
        <sz val="12.0"/>
      </rPr>
      <t>。</t>
    </r>
  </si>
  <si>
    <t xml:space="preserve">        四、112年4月起以「自動車流監視系統」數據概估計算</t>
  </si>
  <si>
    <t xml:space="preserve">        五、113年起以觀光電信大數據統計。</t>
  </si>
  <si>
    <t>三仙台遊憩區及周邊地區歷年每月遊客量統計表</t>
  </si>
  <si>
    <r>
      <rPr>
        <rFont val="Microsoft JhengHei"/>
        <color rgb="FF000000"/>
        <sz val="12.0"/>
      </rPr>
      <t xml:space="preserve">                                                                                                                                                                                                                              </t>
    </r>
    <r>
      <rPr>
        <rFont val="Microsoft JhengHei"/>
        <color rgb="FF000000"/>
        <sz val="12.0"/>
      </rPr>
      <t>單位：人</t>
    </r>
  </si>
  <si>
    <t>註：一、本處於81.03.01接管小野柳遊憩區，81.06.29接管八仙洞遊憩區。小野柳、三仙台、八仙洞三處遊客量統計方式  以停車場停車數換算遊客數。</t>
  </si>
  <si>
    <t xml:space="preserve">        二、89年前停車數換算為遊客數基準為大客車以40人計、小客車以4人計、機車以2人計（87.9.1納算機車遊客數）；90-91年基準為大客車以35人計、小客車以2.25人計、
                機車以1.34人計；92年以後基準為大客車平日以33人計、假日以36人計，小客車以2.2人計、機車以1.38人計。104年起大客車平常日以30人計、假日以31人計，小客車以2.4人，
                機車以1.27人計。(依據觀光局民國88年台閩地區主要觀光遊憩據點遊客人數統計作業準則辦理)。</t>
  </si>
  <si>
    <t xml:space="preserve">        三、112年4月起以「自動車流監視系統」數據概估計算。</t>
  </si>
  <si>
    <t xml:space="preserve">        四、113年起原「三仙台遊憩區」更新為涵蓋範圍較廣的「三仙台遊憩區及周邊地區」。並以觀光電信大數據統計。</t>
  </si>
  <si>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八仙洞遊憩區歷年每月遊客量統計表</t>
    </r>
  </si>
  <si>
    <r>
      <rPr>
        <rFont val="Microsoft JhengHei"/>
        <color rgb="FF000000"/>
        <sz val="12.0"/>
      </rPr>
      <t xml:space="preserve">                                                                                                                                                                                                                              </t>
    </r>
    <r>
      <rPr>
        <rFont val="Microsoft JhengHei"/>
        <color rgb="FF000000"/>
        <sz val="12.0"/>
      </rPr>
      <t>單位：人</t>
    </r>
  </si>
  <si>
    <t xml:space="preserve">        二、89年前停車數換算為遊客數基準為大客車以40人計、小客車以4人計、機車以2人計（87.9.1納算機車遊客數）；90-91年基準為大客車以35人計、小客車以2.25人計、
                機車以1.34人計；92年以後基準為大客車平日以33人計、假日以36人計，小客車以2.2人計、機車以1.38人計。104年起大客車平常日以30人計、假日以31人計，
                小客車以2.4人，機車以1.27人計。(依據觀光局民國88年台閩地區主要觀光遊憩據點遊客人數統計作業準則辦理)。</t>
  </si>
  <si>
    <t xml:space="preserve">        三、112年4月起以「自動車流監視系統」數據概估計算</t>
  </si>
  <si>
    <t xml:space="preserve">        四、113年起以觀光電信大數據統計。</t>
  </si>
  <si>
    <t>秀姑巒溪遊客中心園區歷年每月遊客量統計表</t>
  </si>
  <si>
    <r>
      <rPr>
        <rFont val="Microsoft JhengHei"/>
        <color rgb="FF000000"/>
        <sz val="12.0"/>
      </rPr>
      <t xml:space="preserve">                                                                                                                                                                                                                              </t>
    </r>
    <r>
      <rPr>
        <rFont val="Microsoft JhengHei"/>
        <color rgb="FF000000"/>
        <sz val="12.0"/>
      </rPr>
      <t>單位：人</t>
    </r>
  </si>
  <si>
    <t>註：一、本處於80.05.01接管秀姑巒溪泛舟中心，以購買泛舟券數計算遊客數，95.4.3泛舟停止收費，改以停車場停車數計算遊客數。</t>
  </si>
  <si>
    <t xml:space="preserve">        二、89年前停車數換算為遊客數基準為大客車以40人計、小客車以4人計、機車以2人計（87.9.1納算機車遊客數）；90-91年基準為大客車以35人計、
                小客車以2.25人計、機車以1.34人計；92年以後基準為大客車平日以33人計、假日以36人計，小客車以2.2人計、機車以1.38人計。104年起大客車
                平常日以30人計、假日以31人計，小客車以2.4人，機車以1.27人計。(依據觀光局民國88年台閩地區主要觀光遊憩據點遊客人數統計作業準則辦理)。</t>
  </si>
  <si>
    <t xml:space="preserve">        三、113年起以觀光電信大數據統計。</t>
  </si>
  <si>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石梯坪遊憩區歷年每月遊客量統計表</t>
    </r>
  </si>
  <si>
    <r>
      <rPr>
        <rFont val="Microsoft JhengHei"/>
        <color rgb="FF000000"/>
        <sz val="12.0"/>
      </rPr>
      <t xml:space="preserve">                                                                                                                                                                                                                              </t>
    </r>
    <r>
      <rPr>
        <rFont val="Microsoft JhengHei"/>
        <color rgb="FF000000"/>
        <sz val="12.0"/>
      </rPr>
      <t>單位：人</t>
    </r>
  </si>
  <si>
    <r>
      <rPr>
        <rFont val="Microsoft JhengHei"/>
        <color rgb="FF000000"/>
        <sz val="12.0"/>
      </rPr>
      <t>註：一、</t>
    </r>
    <r>
      <rPr>
        <rFont val="Microsoft JhengHei"/>
        <color rgb="FF000000"/>
        <sz val="12.0"/>
      </rPr>
      <t>89</t>
    </r>
    <r>
      <rPr>
        <rFont val="Microsoft JhengHei"/>
        <color rgb="FF000000"/>
        <sz val="12.0"/>
      </rPr>
      <t>年起納入全區遊客量統計。</t>
    </r>
  </si>
  <si>
    <t xml:space="preserve">        二、石梯坪遊憩區包括北迴歸線、長虹橋、石梯坪及石門等4個遊憩據點；遊客量統計方式係每日分3個時段至4據點停車場點算停車數，以停車場停車數計算遊客數。為避免重複計算，
                101年2月起以北回歸線及石梯坪露營工作服務站之停車數換算為遊客數。104年起石梯坪遊憩區遊客量改以該區單一據點停車場停車數計算遊客數。</t>
  </si>
  <si>
    <t xml:space="preserve">        三、89年前停車數換算為遊客數基準為大客車以40人計、小客車以4人計、機車以2人計（87.9.1納算機車遊客數）；90-91年基準為大客車以35人計、小客車以2.25人計、機車以1.34人計；
                92年以後基準為大客車平日以33人計、假日以36人計，小客車以2.2人計、機車以1.38人計。104年起大客車平常日以30人計、假日以31人計，小客車以2.4人，機車以1.27人計。
               (依據觀光局民國88年台閩地區主要觀光遊憩據點遊客人數統計作業準則辦理)。</t>
  </si>
  <si>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磯崎海濱遊憩區歷年每月遊客量統計表</t>
    </r>
  </si>
  <si>
    <r>
      <rPr>
        <rFont val="Microsoft JhengHei"/>
        <color rgb="FF000000"/>
        <sz val="12.0"/>
      </rPr>
      <t xml:space="preserve">                                                                                                                                                                                                                              </t>
    </r>
    <r>
      <rPr>
        <rFont val="Microsoft JhengHei"/>
        <color rgb="FF000000"/>
        <sz val="12.0"/>
      </rPr>
      <t>單位：人</t>
    </r>
  </si>
  <si>
    <r>
      <rPr>
        <rFont val="Microsoft JhengHei"/>
        <color rgb="FF000000"/>
        <sz val="12.0"/>
      </rPr>
      <t>註：一、磯崎海水浴場於</t>
    </r>
    <r>
      <rPr>
        <rFont val="Microsoft JhengHei"/>
        <color rgb="FF000000"/>
        <sz val="12.0"/>
      </rPr>
      <t>84.08.20</t>
    </r>
    <r>
      <rPr>
        <rFont val="Microsoft JhengHei"/>
        <color rgb="FF000000"/>
        <sz val="12.0"/>
      </rPr>
      <t>落成啟用；</t>
    </r>
    <r>
      <rPr>
        <rFont val="Microsoft JhengHei"/>
        <color rgb="FF000000"/>
        <sz val="12.0"/>
      </rPr>
      <t>86.07</t>
    </r>
    <r>
      <rPr>
        <rFont val="Microsoft JhengHei"/>
        <color rgb="FF000000"/>
        <sz val="12.0"/>
      </rPr>
      <t>外包民間經營。</t>
    </r>
  </si>
  <si>
    <r>
      <rPr>
        <rFont val="Microsoft JhengHei"/>
        <color rgb="FF000000"/>
        <sz val="12.0"/>
      </rPr>
      <t xml:space="preserve">        </t>
    </r>
    <r>
      <rPr>
        <rFont val="Microsoft JhengHei"/>
        <color rgb="FF000000"/>
        <sz val="12.0"/>
      </rPr>
      <t>二、磯崎海水浴場海上活動開放時間，原則為</t>
    </r>
    <r>
      <rPr>
        <rFont val="Microsoft JhengHei"/>
        <color rgb="FF000000"/>
        <sz val="12.0"/>
      </rPr>
      <t>6</t>
    </r>
    <r>
      <rPr>
        <rFont val="Microsoft JhengHei"/>
        <color rgb="FF000000"/>
        <sz val="12.0"/>
      </rPr>
      <t>月至</t>
    </r>
    <r>
      <rPr>
        <rFont val="Microsoft JhengHei"/>
        <color rgb="FF000000"/>
        <sz val="12.0"/>
      </rPr>
      <t>9</t>
    </r>
    <r>
      <rPr>
        <rFont val="Microsoft JhengHei"/>
        <color rgb="FF000000"/>
        <sz val="12.0"/>
      </rPr>
      <t>月。</t>
    </r>
  </si>
  <si>
    <r>
      <rPr>
        <rFont val="Microsoft JhengHei"/>
        <color rgb="FF000000"/>
        <sz val="12.0"/>
      </rPr>
      <t xml:space="preserve">        </t>
    </r>
    <r>
      <rPr>
        <rFont val="Microsoft JhengHei"/>
        <color rgb="FF000000"/>
        <sz val="12.0"/>
      </rPr>
      <t>三、</t>
    </r>
    <r>
      <rPr>
        <rFont val="Microsoft JhengHei"/>
        <color rgb="FF000000"/>
        <sz val="12.0"/>
      </rPr>
      <t>89</t>
    </r>
    <r>
      <rPr>
        <rFont val="Microsoft JhengHei"/>
        <color rgb="FF000000"/>
        <sz val="12.0"/>
      </rPr>
      <t>年起納入全區遊客量統計。</t>
    </r>
  </si>
  <si>
    <r>
      <rPr>
        <rFont val="Microsoft JhengHei"/>
        <color rgb="FF000000"/>
        <sz val="12.0"/>
      </rPr>
      <t xml:space="preserve">        </t>
    </r>
    <r>
      <rPr>
        <rFont val="Microsoft JhengHei"/>
        <color rgb="FF000000"/>
        <sz val="12.0"/>
      </rPr>
      <t>四、遊客量統計方式，是以購買門票數計算遊客數。</t>
    </r>
    <r>
      <rPr>
        <rFont val="Microsoft JhengHei"/>
        <color rgb="FF000000"/>
        <sz val="12.0"/>
      </rPr>
      <t>103</t>
    </r>
    <r>
      <rPr>
        <rFont val="Microsoft JhengHei"/>
        <color rgb="FF000000"/>
        <sz val="12.0"/>
      </rPr>
      <t>年</t>
    </r>
    <r>
      <rPr>
        <rFont val="Microsoft JhengHei"/>
        <color rgb="FF000000"/>
        <sz val="12.0"/>
      </rPr>
      <t>3</t>
    </r>
    <r>
      <rPr>
        <rFont val="Microsoft JhengHei"/>
        <color rgb="FF000000"/>
        <sz val="12.0"/>
      </rPr>
      <t>月至</t>
    </r>
    <r>
      <rPr>
        <rFont val="Microsoft JhengHei"/>
        <color rgb="FF000000"/>
        <sz val="12.0"/>
      </rPr>
      <t>104</t>
    </r>
    <r>
      <rPr>
        <rFont val="Microsoft JhengHei"/>
        <color rgb="FF000000"/>
        <sz val="12.0"/>
      </rPr>
      <t>年</t>
    </r>
    <r>
      <rPr>
        <rFont val="Microsoft JhengHei"/>
        <color rgb="FF000000"/>
        <sz val="12.0"/>
      </rPr>
      <t>7</t>
    </r>
    <r>
      <rPr>
        <rFont val="Microsoft JhengHei"/>
        <color rgb="FF000000"/>
        <sz val="12.0"/>
      </rPr>
      <t>月整修。</t>
    </r>
  </si>
  <si>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花蓮海洋公園歷年每月遊客量統計表</t>
    </r>
  </si>
  <si>
    <r>
      <rPr>
        <rFont val="Microsoft JhengHei"/>
        <color rgb="FF000000"/>
        <sz val="12.0"/>
      </rPr>
      <t xml:space="preserve">                                                                                                                                                                                                                              </t>
    </r>
    <r>
      <rPr>
        <rFont val="Microsoft JhengHei"/>
        <color rgb="FF000000"/>
        <sz val="12.0"/>
      </rPr>
      <t>單位：人</t>
    </r>
  </si>
  <si>
    <t>註： 一、 花蓮海洋公園於91.12.14開幕；92.01月起納入統計，請園方提供遊客數。</t>
  </si>
  <si>
    <t xml:space="preserve">         二、 113年起以門票數統計</t>
  </si>
  <si>
    <t>豐濱鄉親不知子海上古道及周邊地區歷年每月遊客量統計表</t>
  </si>
  <si>
    <r>
      <rPr>
        <rFont val="Microsoft JhengHei"/>
        <color rgb="FF000000"/>
        <sz val="12.0"/>
      </rPr>
      <t xml:space="preserve">                                                                                                                                                                                                                              </t>
    </r>
    <r>
      <rPr>
        <rFont val="Microsoft JhengHei"/>
        <color rgb="FF000000"/>
        <sz val="12.0"/>
      </rPr>
      <t>單位：人</t>
    </r>
  </si>
  <si>
    <t>註：一、親不知子海上古道遊客數統計方式以門票數換算遊客數。</t>
  </si>
  <si>
    <r>
      <rPr>
        <rFont val="Microsoft JhengHei"/>
        <color rgb="FF000000"/>
        <sz val="12.0"/>
      </rPr>
      <t xml:space="preserve">        </t>
    </r>
    <r>
      <rPr>
        <rFont val="Microsoft JhengHei"/>
        <color rgb="FF000000"/>
        <sz val="12.0"/>
      </rPr>
      <t>二、</t>
    </r>
    <r>
      <rPr>
        <rFont val="Microsoft JhengHei"/>
        <color rgb="FF000000"/>
        <sz val="12.0"/>
      </rPr>
      <t>109</t>
    </r>
    <r>
      <rPr>
        <rFont val="Microsoft JhengHei"/>
        <color rgb="FF000000"/>
        <sz val="12.0"/>
      </rPr>
      <t>年納入全區遊客量統計。由豐濱鄉公所提供數據</t>
    </r>
  </si>
  <si>
    <t xml:space="preserve">        三、113年起原「親不知子天空步道」更新為涵蓋範圍較廣的「豐濱鄉親不知子海上古道及周邊地區」。並以觀光電信大數據統計。</t>
  </si>
  <si>
    <r>
      <rPr>
        <rFont val="Microsoft JhengHei"/>
        <color rgb="FF000000"/>
        <sz val="16.0"/>
      </rPr>
      <t xml:space="preserve"> </t>
    </r>
    <r>
      <rPr>
        <rFont val="Microsoft JhengHei"/>
        <color rgb="FF000000"/>
        <sz val="16.0"/>
      </rPr>
      <t xml:space="preserve">   </t>
    </r>
    <r>
      <rPr>
        <rFont val="Microsoft JhengHei"/>
        <color rgb="FF000000"/>
        <sz val="16.0"/>
      </rPr>
      <t xml:space="preserve"> </t>
    </r>
    <r>
      <rPr>
        <rFont val="Microsoft JhengHei"/>
        <color rgb="FF000000"/>
        <sz val="16.0"/>
      </rPr>
      <t>花蓮遊憩區歷年每月遊客量統計表</t>
    </r>
  </si>
  <si>
    <r>
      <rPr>
        <rFont val="Microsoft JhengHei"/>
        <color rgb="FF000000"/>
        <sz val="12.0"/>
      </rPr>
      <t xml:space="preserve">                                                                                                                                                                                                                              </t>
    </r>
    <r>
      <rPr>
        <rFont val="Microsoft JhengHei"/>
        <color rgb="FF000000"/>
        <sz val="12.0"/>
      </rPr>
      <t>單位：人</t>
    </r>
  </si>
  <si>
    <t>註：一、花蓮管理站遊客數統計方式以停車場停車數換算遊客數。</t>
  </si>
  <si>
    <t xml:space="preserve">        二、89年前停車數換算為遊客數基準為大客車以40人計、小客車以4人計、機車以2人計（87.9.1納算機車遊客數）；90-91年基準為大客車以35人計、小客車以2.25人計、
               機車以1.34人計；92年以後基準為大客車平日以33人計、假日以36人計，小客車以2.2人計、機車以1.38人計。104年起大客車平常日以30人計、假日以31人計，
               小客車以2.4人，機車以1.27人計。(依據觀光局民國88年台閩地區主要觀光遊憩據點遊客人數統計作業準則辦理)。</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</si>
</sst>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quot; &quot;"/>
    <numFmt numFmtId="165" formatCode="&quot; &quot;#,##0.00&quot; &quot;;&quot;-&quot;#,##0.00&quot; &quot;;&quot; -&quot;00&quot; &quot;;&quot; &quot;@&quot; &quot;"/>
    <numFmt numFmtId="166" formatCode="#,##0&quot; &quot;;[Red]&quot;(&quot;#,##0&quot;)&quot;"/>
  </numFmts>
  <fonts count="16">
    <font>
      <sz val="12.0"/>
      <color rgb="FF000000"/>
      <name val="Calibri"/>
      <scheme val="minor"/>
    </font>
    <font>
      <b/>
      <sz val="16.0"/>
      <color rgb="FF000000"/>
      <name val="PMingLiu"/>
    </font>
    <font>
      <b/>
      <sz val="14.0"/>
      <color rgb="FF000000"/>
      <name val="PMingLiu"/>
    </font>
    <font>
      <sz val="12.0"/>
      <color rgb="FF000000"/>
      <name val="PMingLiu"/>
    </font>
    <font>
      <sz val="10.0"/>
      <color rgb="FF000000"/>
      <name val="PMingLiu"/>
    </font>
    <font>
      <sz val="9.0"/>
      <color rgb="FF000000"/>
      <name val="Microsoft JhengHei"/>
    </font>
    <font>
      <b/>
      <sz val="9.0"/>
      <color rgb="FF000000"/>
      <name val="Microsoft JhengHei"/>
    </font>
    <font>
      <sz val="9.0"/>
      <color rgb="FF000000"/>
      <name val="DFKai-SB"/>
    </font>
    <font>
      <sz val="9.0"/>
      <color rgb="FF000000"/>
      <name val="PMingLiu"/>
    </font>
    <font/>
    <font>
      <b/>
      <sz val="9.0"/>
      <color rgb="FF999999"/>
      <name val="Microsoft JhengHei"/>
    </font>
    <font>
      <sz val="9.0"/>
      <color theme="1"/>
      <name val="Microsoft JhengHei"/>
    </font>
    <font>
      <sz val="12.0"/>
      <color theme="1"/>
      <name val="PMingLiu"/>
    </font>
    <font>
      <sz val="16.0"/>
      <color rgb="FF000000"/>
      <name val="Microsoft JhengHei"/>
    </font>
    <font>
      <sz val="12.0"/>
      <color rgb="FF000000"/>
      <name val="Microsoft JhengHei"/>
    </font>
    <font>
      <sz val="14.0"/>
      <color rgb="FF000000"/>
      <name val="Microsoft JhengHei"/>
    </font>
  </fonts>
  <fills count="5">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CCC0DA"/>
        <bgColor rgb="FFCCC0DA"/>
      </patternFill>
    </fill>
  </fills>
  <borders count="39">
    <border/>
    <border>
      <left/>
      <right/>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top style="thin">
        <color rgb="FF000000"/>
      </top>
      <bottom/>
    </border>
    <border>
      <left style="medium">
        <color rgb="FF000000"/>
      </left>
      <right style="thin">
        <color rgb="FF000000"/>
      </right>
      <top style="thin">
        <color rgb="FF000000"/>
      </top>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medium">
        <color rgb="FF000000"/>
      </bottom>
    </border>
    <border>
      <left style="thin">
        <color rgb="FF000000"/>
      </left>
      <right style="thin">
        <color rgb="FF000000"/>
      </right>
      <top/>
      <bottom style="medium">
        <color rgb="FF000000"/>
      </bottom>
    </border>
    <border>
      <left/>
      <right style="medium">
        <color rgb="FF000000"/>
      </right>
      <top/>
      <bottom style="medium">
        <color rgb="FF000000"/>
      </bottom>
    </border>
    <border>
      <left style="medium">
        <color rgb="FF000000"/>
      </left>
      <top style="medium">
        <color rgb="FF000000"/>
      </top>
    </border>
    <border>
      <left/>
      <top style="medium">
        <color rgb="FF000000"/>
      </top>
    </border>
    <border>
      <right style="medium">
        <color rgb="FF000000"/>
      </right>
      <top style="medium">
        <color rgb="FF000000"/>
      </top>
    </border>
    <border>
      <left style="medium">
        <color rgb="FF000000"/>
      </left>
      <bottom style="medium">
        <color rgb="FF000000"/>
      </bottom>
    </border>
    <border>
      <left/>
      <bottom style="medium">
        <color rgb="FF000000"/>
      </bottom>
    </border>
    <border>
      <right style="medium">
        <color rgb="FF000000"/>
      </right>
      <bottom style="medium">
        <color rgb="FF000000"/>
      </bottom>
    </border>
    <border>
      <left style="medium">
        <color rgb="FF000000"/>
      </left>
      <right style="thin">
        <color rgb="FF000000"/>
      </right>
      <top style="medium">
        <color rgb="FF000000"/>
      </top>
      <bottom/>
    </border>
    <border>
      <left style="medium">
        <color rgb="FF000000"/>
      </left>
      <right style="thin">
        <color rgb="FF000000"/>
      </right>
      <top/>
      <bottom style="thin">
        <color rgb="FF000000"/>
      </bottom>
    </border>
    <border>
      <left style="medium">
        <color rgb="FF000000"/>
      </left>
      <right style="thin">
        <color rgb="FF000000"/>
      </right>
      <top style="thin">
        <color rgb="FF000000"/>
      </top>
      <bottom/>
    </border>
    <border>
      <left style="thin">
        <color rgb="FF000000"/>
      </left>
      <right style="medium">
        <color rgb="FF000000"/>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119">
    <xf borderId="0" fillId="0" fontId="0" numFmtId="0" xfId="0" applyAlignment="1" applyFont="1">
      <alignment readingOrder="0" shrinkToFit="0" vertical="center" wrapText="0"/>
    </xf>
    <xf borderId="0" fillId="0" fontId="1" numFmtId="0" xfId="0" applyAlignment="1" applyFont="1">
      <alignment horizontal="left" vertical="center"/>
    </xf>
    <xf borderId="1" fillId="2" fontId="2" numFmtId="0" xfId="0" applyAlignment="1" applyBorder="1" applyFill="1" applyFont="1">
      <alignment horizontal="left" vertical="center"/>
    </xf>
    <xf borderId="0" fillId="0" fontId="3" numFmtId="0" xfId="0" applyAlignment="1" applyFont="1">
      <alignment horizontal="left" vertical="center"/>
    </xf>
    <xf borderId="1" fillId="2" fontId="3" numFmtId="0" xfId="0" applyAlignment="1" applyBorder="1" applyFont="1">
      <alignment horizontal="left" vertical="center"/>
    </xf>
    <xf borderId="0" fillId="0" fontId="4" numFmtId="0" xfId="0" applyAlignment="1" applyFont="1">
      <alignment horizontal="left" vertical="center"/>
    </xf>
    <xf borderId="0" fillId="0" fontId="3" numFmtId="0" xfId="0" applyAlignment="1" applyFont="1">
      <alignment vertical="bottom"/>
    </xf>
    <xf borderId="0" fillId="0" fontId="4" numFmtId="0" xfId="0" applyAlignment="1" applyFont="1">
      <alignment vertical="bottom"/>
    </xf>
    <xf borderId="1" fillId="2" fontId="4" numFmtId="0" xfId="0" applyAlignment="1" applyBorder="1" applyFont="1">
      <alignment vertical="bottom"/>
    </xf>
    <xf borderId="2" fillId="0" fontId="3" numFmtId="0" xfId="0" applyAlignment="1" applyBorder="1" applyFont="1">
      <alignment vertical="center"/>
    </xf>
    <xf borderId="3" fillId="2" fontId="5" numFmtId="0" xfId="0" applyAlignment="1" applyBorder="1" applyFont="1">
      <alignment horizontal="center" shrinkToFit="1" vertical="center" wrapText="0"/>
    </xf>
    <xf borderId="3" fillId="0" fontId="5" numFmtId="0" xfId="0" applyAlignment="1" applyBorder="1" applyFont="1">
      <alignment horizontal="center" readingOrder="0" shrinkToFit="0" vertical="center" wrapText="1"/>
    </xf>
    <xf borderId="3" fillId="0" fontId="5" numFmtId="0" xfId="0" applyAlignment="1" applyBorder="1" applyFont="1">
      <alignment horizontal="center" shrinkToFit="0" vertical="center" wrapText="1"/>
    </xf>
    <xf borderId="3" fillId="2" fontId="5" numFmtId="0" xfId="0" applyAlignment="1" applyBorder="1" applyFont="1">
      <alignment horizontal="center" readingOrder="0" shrinkToFit="0" vertical="center" wrapText="1"/>
    </xf>
    <xf borderId="3" fillId="2" fontId="5" numFmtId="0" xfId="0" applyAlignment="1" applyBorder="1" applyFont="1">
      <alignment horizontal="center" shrinkToFit="0" vertical="center" wrapText="1"/>
    </xf>
    <xf borderId="3" fillId="0" fontId="6" numFmtId="0" xfId="0" applyAlignment="1" applyBorder="1" applyFont="1">
      <alignment horizontal="center" vertical="center"/>
    </xf>
    <xf borderId="4" fillId="0" fontId="6" numFmtId="0" xfId="0" applyAlignment="1" applyBorder="1" applyFont="1">
      <alignment horizontal="center" vertical="center"/>
    </xf>
    <xf borderId="2" fillId="0" fontId="7" numFmtId="0" xfId="0" applyAlignment="1" applyBorder="1" applyFont="1">
      <alignment horizontal="center" shrinkToFit="1" vertical="center" wrapText="0"/>
    </xf>
    <xf borderId="3" fillId="0" fontId="7" numFmtId="0" xfId="0" applyAlignment="1" applyBorder="1" applyFont="1">
      <alignment horizontal="center" shrinkToFit="1" vertical="center" wrapText="0"/>
    </xf>
    <xf borderId="0" fillId="0" fontId="8" numFmtId="0" xfId="0" applyAlignment="1" applyFont="1">
      <alignment vertical="bottom"/>
    </xf>
    <xf borderId="5" fillId="0" fontId="9" numFmtId="0" xfId="0" applyAlignment="1" applyBorder="1" applyFont="1">
      <alignment vertical="center"/>
    </xf>
    <xf borderId="6" fillId="0" fontId="9" numFmtId="0" xfId="0" applyAlignment="1" applyBorder="1" applyFont="1">
      <alignment vertical="center"/>
    </xf>
    <xf borderId="7" fillId="0" fontId="9" numFmtId="0" xfId="0" applyAlignment="1" applyBorder="1" applyFont="1">
      <alignment vertical="center"/>
    </xf>
    <xf quotePrefix="1" borderId="8" fillId="0" fontId="6" numFmtId="0" xfId="0" applyAlignment="1" applyBorder="1" applyFont="1">
      <alignment horizontal="center" readingOrder="0" vertical="center"/>
    </xf>
    <xf borderId="9" fillId="2" fontId="6" numFmtId="164" xfId="0" applyAlignment="1" applyBorder="1" applyFont="1" applyNumberFormat="1">
      <alignment horizontal="right" vertical="center"/>
    </xf>
    <xf borderId="9" fillId="0" fontId="10" numFmtId="164" xfId="0" applyAlignment="1" applyBorder="1" applyFont="1" applyNumberFormat="1">
      <alignment vertical="center"/>
    </xf>
    <xf borderId="10" fillId="0" fontId="6" numFmtId="164" xfId="0" applyAlignment="1" applyBorder="1" applyFont="1" applyNumberFormat="1">
      <alignment vertical="center"/>
    </xf>
    <xf borderId="9" fillId="2" fontId="10" numFmtId="164" xfId="0" applyAlignment="1" applyBorder="1" applyFont="1" applyNumberFormat="1">
      <alignment vertical="center"/>
    </xf>
    <xf borderId="9" fillId="0" fontId="6" numFmtId="164" xfId="0" applyAlignment="1" applyBorder="1" applyFont="1" applyNumberFormat="1">
      <alignment vertical="center"/>
    </xf>
    <xf borderId="11" fillId="2" fontId="6" numFmtId="164" xfId="0" applyAlignment="1" applyBorder="1" applyFont="1" applyNumberFormat="1">
      <alignment vertical="center"/>
    </xf>
    <xf borderId="12" fillId="2" fontId="6" numFmtId="164" xfId="0" applyAlignment="1" applyBorder="1" applyFont="1" applyNumberFormat="1">
      <alignment vertical="center"/>
    </xf>
    <xf borderId="13" fillId="0" fontId="5" numFmtId="0" xfId="0" applyAlignment="1" applyBorder="1" applyFont="1">
      <alignment vertical="center"/>
    </xf>
    <xf borderId="13" fillId="0" fontId="6" numFmtId="10" xfId="0" applyAlignment="1" applyBorder="1" applyFont="1" applyNumberFormat="1">
      <alignment vertical="center"/>
    </xf>
    <xf borderId="8" fillId="0" fontId="6" numFmtId="0" xfId="0" applyAlignment="1" applyBorder="1" applyFont="1">
      <alignment horizontal="center" readingOrder="0" vertical="center"/>
    </xf>
    <xf borderId="9" fillId="2" fontId="6" numFmtId="164" xfId="0" applyAlignment="1" applyBorder="1" applyFont="1" applyNumberFormat="1">
      <alignment vertical="center"/>
    </xf>
    <xf borderId="14" fillId="0" fontId="10" numFmtId="164" xfId="0" applyAlignment="1" applyBorder="1" applyFont="1" applyNumberFormat="1">
      <alignment vertical="center"/>
    </xf>
    <xf borderId="15" fillId="0" fontId="6" numFmtId="164" xfId="0" applyAlignment="1" applyBorder="1" applyFont="1" applyNumberFormat="1">
      <alignment vertical="center"/>
    </xf>
    <xf borderId="11" fillId="2" fontId="10" numFmtId="164" xfId="0" applyAlignment="1" applyBorder="1" applyFont="1" applyNumberFormat="1">
      <alignment vertical="center"/>
    </xf>
    <xf borderId="14" fillId="0" fontId="6" numFmtId="164" xfId="0" applyAlignment="1" applyBorder="1" applyFont="1" applyNumberFormat="1">
      <alignment vertical="center"/>
    </xf>
    <xf borderId="16" fillId="2" fontId="6" numFmtId="164" xfId="0" applyAlignment="1" applyBorder="1" applyFont="1" applyNumberFormat="1">
      <alignment vertical="center"/>
    </xf>
    <xf borderId="15" fillId="2" fontId="6" numFmtId="164" xfId="0" applyAlignment="1" applyBorder="1" applyFont="1" applyNumberFormat="1">
      <alignment vertical="center"/>
    </xf>
    <xf borderId="14" fillId="2" fontId="6" numFmtId="164" xfId="0" applyAlignment="1" applyBorder="1" applyFont="1" applyNumberFormat="1">
      <alignment vertical="center"/>
    </xf>
    <xf borderId="0" fillId="0" fontId="8" numFmtId="164" xfId="0" applyAlignment="1" applyFont="1" applyNumberFormat="1">
      <alignment vertical="bottom"/>
    </xf>
    <xf borderId="0" fillId="0" fontId="8" numFmtId="165" xfId="0" applyAlignment="1" applyFont="1" applyNumberFormat="1">
      <alignment vertical="bottom"/>
    </xf>
    <xf borderId="0" fillId="0" fontId="8" numFmtId="10" xfId="0" applyAlignment="1" applyFont="1" applyNumberFormat="1">
      <alignment vertical="bottom"/>
    </xf>
    <xf borderId="8" fillId="0" fontId="6" numFmtId="0" xfId="0" applyAlignment="1" applyBorder="1" applyFont="1">
      <alignment horizontal="center" vertical="center"/>
    </xf>
    <xf borderId="17" fillId="0" fontId="6" numFmtId="0" xfId="0" applyAlignment="1" applyBorder="1" applyFont="1">
      <alignment horizontal="center" vertical="center"/>
    </xf>
    <xf borderId="0" fillId="0" fontId="8" numFmtId="0" xfId="0" applyAlignment="1" applyFont="1">
      <alignment vertical="center"/>
    </xf>
    <xf borderId="0" fillId="0" fontId="8" numFmtId="10" xfId="0" applyAlignment="1" applyFont="1" applyNumberFormat="1">
      <alignment vertical="center"/>
    </xf>
    <xf borderId="13" fillId="0" fontId="6" numFmtId="10" xfId="0" applyAlignment="1" applyBorder="1" applyFont="1" applyNumberFormat="1">
      <alignment horizontal="center" vertical="center"/>
    </xf>
    <xf borderId="18" fillId="0" fontId="6" numFmtId="0" xfId="0" applyAlignment="1" applyBorder="1" applyFont="1">
      <alignment horizontal="center" vertical="center"/>
    </xf>
    <xf borderId="19" fillId="2" fontId="6" numFmtId="164" xfId="0" applyAlignment="1" applyBorder="1" applyFont="1" applyNumberFormat="1">
      <alignment vertical="center"/>
    </xf>
    <xf borderId="20" fillId="0" fontId="6" numFmtId="10" xfId="0" applyAlignment="1" applyBorder="1" applyFont="1" applyNumberFormat="1">
      <alignment vertical="center"/>
    </xf>
    <xf borderId="0" fillId="0" fontId="11" numFmtId="0" xfId="0" applyAlignment="1" applyFont="1">
      <alignment horizontal="center" vertical="center"/>
    </xf>
    <xf borderId="0" fillId="0" fontId="12" numFmtId="0" xfId="0" applyAlignment="1" applyFont="1">
      <alignment vertical="bottom"/>
    </xf>
    <xf borderId="0" fillId="0" fontId="11" numFmtId="0" xfId="0" applyAlignment="1" applyFont="1">
      <alignment readingOrder="0" shrinkToFit="0" vertical="center" wrapText="1"/>
    </xf>
    <xf borderId="0" fillId="0" fontId="11" numFmtId="0" xfId="0" applyAlignment="1" applyFont="1">
      <alignment shrinkToFit="0" vertical="center" wrapText="1"/>
    </xf>
    <xf borderId="0" fillId="0" fontId="11" numFmtId="0" xfId="0" applyAlignment="1" applyFont="1">
      <alignment vertical="center"/>
    </xf>
    <xf borderId="0" fillId="0" fontId="3" numFmtId="0" xfId="0" applyAlignment="1" applyFont="1">
      <alignment shrinkToFit="0" vertical="bottom" wrapText="1"/>
    </xf>
    <xf borderId="0" fillId="0" fontId="5" numFmtId="0" xfId="0" applyAlignment="1" applyFont="1">
      <alignment vertical="center"/>
    </xf>
    <xf borderId="2" fillId="0" fontId="3" numFmtId="0" xfId="0" applyAlignment="1" applyBorder="1" applyFont="1">
      <alignment horizontal="right" vertical="center"/>
    </xf>
    <xf borderId="21" fillId="0" fontId="3" numFmtId="0" xfId="0" applyAlignment="1" applyBorder="1" applyFont="1">
      <alignment horizontal="center" vertical="center"/>
    </xf>
    <xf borderId="22" fillId="0" fontId="3" numFmtId="0" xfId="0" applyAlignment="1" applyBorder="1" applyFont="1">
      <alignment horizontal="center" vertical="center"/>
    </xf>
    <xf borderId="23" fillId="0" fontId="9" numFmtId="0" xfId="0" applyAlignment="1" applyBorder="1" applyFont="1">
      <alignment vertical="center"/>
    </xf>
    <xf borderId="24" fillId="3" fontId="3" numFmtId="0" xfId="0" applyAlignment="1" applyBorder="1" applyFill="1" applyFont="1">
      <alignment vertical="center"/>
    </xf>
    <xf borderId="25" fillId="3" fontId="3" numFmtId="0" xfId="0" applyAlignment="1" applyBorder="1" applyFont="1">
      <alignment readingOrder="0" vertical="center"/>
    </xf>
    <xf borderId="26" fillId="0" fontId="3" numFmtId="0" xfId="0" applyAlignment="1" applyBorder="1" applyFont="1">
      <alignment horizontal="center" shrinkToFit="0" vertical="center" wrapText="1"/>
    </xf>
    <xf borderId="27" fillId="3" fontId="3" numFmtId="0" xfId="0" applyAlignment="1" applyBorder="1" applyFont="1">
      <alignment horizontal="center" readingOrder="0" vertical="center"/>
    </xf>
    <xf borderId="28" fillId="0" fontId="9" numFmtId="0" xfId="0" applyAlignment="1" applyBorder="1" applyFont="1">
      <alignment vertical="center"/>
    </xf>
    <xf borderId="29" fillId="0" fontId="9" numFmtId="0" xfId="0" applyAlignment="1" applyBorder="1" applyFont="1">
      <alignment vertical="center"/>
    </xf>
    <xf borderId="30" fillId="0" fontId="9" numFmtId="0" xfId="0" applyAlignment="1" applyBorder="1" applyFont="1">
      <alignment vertical="center"/>
    </xf>
    <xf borderId="31" fillId="0" fontId="9" numFmtId="0" xfId="0" applyAlignment="1" applyBorder="1" applyFont="1">
      <alignment vertical="center"/>
    </xf>
    <xf borderId="27" fillId="3" fontId="3" numFmtId="0" xfId="0" applyAlignment="1" applyBorder="1" applyFont="1">
      <alignment readingOrder="0" vertical="center"/>
    </xf>
    <xf borderId="27" fillId="3" fontId="3" numFmtId="0" xfId="0" applyAlignment="1" applyBorder="1" applyFont="1">
      <alignment vertical="center"/>
    </xf>
    <xf borderId="0" fillId="0" fontId="13" numFmtId="0" xfId="0" applyAlignment="1" applyFont="1">
      <alignment horizontal="left" vertical="center"/>
    </xf>
    <xf borderId="0" fillId="0" fontId="13" numFmtId="0" xfId="0" applyAlignment="1" applyFont="1">
      <alignment vertical="bottom"/>
    </xf>
    <xf borderId="0" fillId="0" fontId="13" numFmtId="166" xfId="0" applyAlignment="1" applyFont="1" applyNumberFormat="1">
      <alignment vertical="bottom"/>
    </xf>
    <xf borderId="0" fillId="0" fontId="14" numFmtId="0" xfId="0" applyAlignment="1" applyFont="1">
      <alignment vertical="bottom"/>
    </xf>
    <xf borderId="32" fillId="4" fontId="14" numFmtId="0" xfId="0" applyAlignment="1" applyBorder="1" applyFill="1" applyFont="1">
      <alignment horizontal="right" vertical="center"/>
    </xf>
    <xf borderId="3" fillId="0" fontId="15" numFmtId="0" xfId="0" applyAlignment="1" applyBorder="1" applyFont="1">
      <alignment horizontal="center" vertical="center"/>
    </xf>
    <xf borderId="4" fillId="0" fontId="15" numFmtId="0" xfId="0" applyAlignment="1" applyBorder="1" applyFont="1">
      <alignment horizontal="center" vertical="center"/>
    </xf>
    <xf borderId="33" fillId="4" fontId="14" numFmtId="0" xfId="0" applyAlignment="1" applyBorder="1" applyFont="1">
      <alignment horizontal="left" vertical="center"/>
    </xf>
    <xf quotePrefix="1" borderId="8" fillId="4" fontId="14" numFmtId="0" xfId="0" applyAlignment="1" applyBorder="1" applyFont="1">
      <alignment horizontal="center" readingOrder="0" vertical="center"/>
    </xf>
    <xf borderId="9" fillId="0" fontId="14" numFmtId="166" xfId="0" applyAlignment="1" applyBorder="1" applyFont="1" applyNumberFormat="1">
      <alignment horizontal="right" vertical="center"/>
    </xf>
    <xf borderId="13" fillId="0" fontId="14" numFmtId="166" xfId="0" applyAlignment="1" applyBorder="1" applyFont="1" applyNumberFormat="1">
      <alignment horizontal="right" vertical="center"/>
    </xf>
    <xf borderId="8" fillId="4" fontId="14" numFmtId="0" xfId="0" applyAlignment="1" applyBorder="1" applyFont="1">
      <alignment horizontal="center" vertical="center"/>
    </xf>
    <xf borderId="34" fillId="4" fontId="14" numFmtId="0" xfId="0" applyAlignment="1" applyBorder="1" applyFont="1">
      <alignment horizontal="center" vertical="center"/>
    </xf>
    <xf borderId="14" fillId="0" fontId="14" numFmtId="166" xfId="0" applyAlignment="1" applyBorder="1" applyFont="1" applyNumberFormat="1">
      <alignment horizontal="right" vertical="center"/>
    </xf>
    <xf borderId="35" fillId="0" fontId="14" numFmtId="166" xfId="0" applyAlignment="1" applyBorder="1" applyFont="1" applyNumberFormat="1">
      <alignment horizontal="right" vertical="center"/>
    </xf>
    <xf borderId="18" fillId="4" fontId="14" numFmtId="0" xfId="0" applyAlignment="1" applyBorder="1" applyFont="1">
      <alignment horizontal="center" vertical="center"/>
    </xf>
    <xf borderId="19" fillId="0" fontId="14" numFmtId="10" xfId="0" applyAlignment="1" applyBorder="1" applyFont="1" applyNumberFormat="1">
      <alignment horizontal="right" vertical="center"/>
    </xf>
    <xf borderId="20" fillId="0" fontId="14" numFmtId="10" xfId="0" applyAlignment="1" applyBorder="1" applyFont="1" applyNumberFormat="1">
      <alignment horizontal="right" vertical="center"/>
    </xf>
    <xf borderId="0" fillId="0" fontId="14" numFmtId="166" xfId="0" applyAlignment="1" applyFont="1" applyNumberFormat="1">
      <alignment vertical="bottom"/>
    </xf>
    <xf borderId="36" fillId="0" fontId="14" numFmtId="0" xfId="0" applyAlignment="1" applyBorder="1" applyFont="1">
      <alignment vertical="bottom"/>
    </xf>
    <xf borderId="21" fillId="0" fontId="14" numFmtId="0" xfId="0" applyAlignment="1" applyBorder="1" applyFont="1">
      <alignment vertical="bottom"/>
    </xf>
    <xf borderId="21" fillId="0" fontId="14" numFmtId="10" xfId="0" applyAlignment="1" applyBorder="1" applyFont="1" applyNumberFormat="1">
      <alignment vertical="bottom"/>
    </xf>
    <xf borderId="37" fillId="0" fontId="14" numFmtId="10" xfId="0" applyAlignment="1" applyBorder="1" applyFont="1" applyNumberFormat="1">
      <alignment vertical="bottom"/>
    </xf>
    <xf borderId="8" fillId="0" fontId="14" numFmtId="0" xfId="0" applyAlignment="1" applyBorder="1" applyFont="1">
      <alignment vertical="bottom"/>
    </xf>
    <xf borderId="9" fillId="0" fontId="14" numFmtId="0" xfId="0" applyAlignment="1" applyBorder="1" applyFont="1">
      <alignment vertical="bottom"/>
    </xf>
    <xf borderId="9" fillId="0" fontId="14" numFmtId="10" xfId="0" applyAlignment="1" applyBorder="1" applyFont="1" applyNumberFormat="1">
      <alignment vertical="bottom"/>
    </xf>
    <xf borderId="13" fillId="0" fontId="14" numFmtId="10" xfId="0" applyAlignment="1" applyBorder="1" applyFont="1" applyNumberFormat="1">
      <alignment vertical="bottom"/>
    </xf>
    <xf borderId="13" fillId="0" fontId="14" numFmtId="0" xfId="0" applyAlignment="1" applyBorder="1" applyFont="1">
      <alignment vertical="bottom"/>
    </xf>
    <xf borderId="18" fillId="0" fontId="14" numFmtId="0" xfId="0" applyAlignment="1" applyBorder="1" applyFont="1">
      <alignment vertical="bottom"/>
    </xf>
    <xf borderId="19" fillId="0" fontId="14" numFmtId="0" xfId="0" applyAlignment="1" applyBorder="1" applyFont="1">
      <alignment vertical="bottom"/>
    </xf>
    <xf borderId="19" fillId="0" fontId="14" numFmtId="10" xfId="0" applyAlignment="1" applyBorder="1" applyFont="1" applyNumberFormat="1">
      <alignment vertical="bottom"/>
    </xf>
    <xf borderId="20" fillId="0" fontId="14" numFmtId="0" xfId="0" applyAlignment="1" applyBorder="1" applyFont="1">
      <alignment vertical="bottom"/>
    </xf>
    <xf borderId="0" fillId="0" fontId="14" numFmtId="10" xfId="0" applyAlignment="1" applyFont="1" applyNumberFormat="1">
      <alignment vertical="bottom"/>
    </xf>
    <xf borderId="9" fillId="2" fontId="14" numFmtId="166" xfId="0" applyAlignment="1" applyBorder="1" applyFont="1" applyNumberFormat="1">
      <alignment horizontal="right" vertical="center"/>
    </xf>
    <xf borderId="13" fillId="2" fontId="14" numFmtId="166" xfId="0" applyAlignment="1" applyBorder="1" applyFont="1" applyNumberFormat="1">
      <alignment horizontal="right" vertical="center"/>
    </xf>
    <xf borderId="38" fillId="0" fontId="14" numFmtId="0" xfId="0" applyAlignment="1" applyBorder="1" applyFont="1">
      <alignment horizontal="center" vertical="center"/>
    </xf>
    <xf borderId="0" fillId="0" fontId="14" numFmtId="0" xfId="0" applyAlignment="1" applyFont="1">
      <alignment readingOrder="0" vertical="bottom"/>
    </xf>
    <xf borderId="0" fillId="0" fontId="14" numFmtId="3" xfId="0" applyAlignment="1" applyFont="1" applyNumberFormat="1">
      <alignment vertical="center"/>
    </xf>
    <xf borderId="0" fillId="0" fontId="14" numFmtId="3" xfId="0" applyAlignment="1" applyFont="1" applyNumberFormat="1">
      <alignment vertical="bottom"/>
    </xf>
    <xf borderId="0" fillId="0" fontId="13" numFmtId="0" xfId="0" applyAlignment="1" applyFont="1">
      <alignment horizontal="left" readingOrder="0" vertical="center"/>
    </xf>
    <xf borderId="10" fillId="0" fontId="14" numFmtId="166" xfId="0" applyAlignment="1" applyBorder="1" applyFont="1" applyNumberFormat="1">
      <alignment horizontal="right" vertical="center"/>
    </xf>
    <xf borderId="12" fillId="2" fontId="14" numFmtId="166" xfId="0" applyAlignment="1" applyBorder="1" applyFont="1" applyNumberFormat="1">
      <alignment horizontal="right" vertical="center"/>
    </xf>
    <xf borderId="19" fillId="0" fontId="14" numFmtId="166" xfId="0" applyAlignment="1" applyBorder="1" applyFont="1" applyNumberFormat="1">
      <alignment horizontal="right" vertical="center"/>
    </xf>
    <xf borderId="0" fillId="0" fontId="14" numFmtId="0" xfId="0" applyAlignment="1" applyFont="1">
      <alignment readingOrder="0" vertical="center"/>
    </xf>
    <xf borderId="0" fillId="0" fontId="14" numFmtId="0" xfId="0" applyAlignment="1" applyFont="1">
      <alignment vertical="center"/>
    </xf>
  </cellXfs>
  <cellStyles count="1">
    <cellStyle xfId="0" name="Normal" builtinId="0"/>
  </cellStyles>
  <dxfs count="3">
    <dxf>
      <font>
        <color rgb="FF9C0006"/>
      </font>
      <fill>
        <patternFill patternType="solid">
          <fgColor rgb="FFFFC7CE"/>
          <bgColor rgb="FFFFC7CE"/>
        </patternFill>
      </fill>
      <border/>
    </dxf>
    <dxf>
      <font>
        <color rgb="FF006100"/>
      </font>
      <fill>
        <patternFill patternType="solid">
          <fgColor rgb="FFC6EFCE"/>
          <bgColor rgb="FFC6EFCE"/>
        </patternFill>
      </fill>
      <border/>
    </dxf>
    <dxf>
      <font>
        <color rgb="FFC00000"/>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1</xdr:row>
      <xdr:rowOff>152400</xdr:rowOff>
    </xdr:from>
    <xdr:ext cx="161925" cy="447675"/>
    <xdr:sp>
      <xdr:nvSpPr>
        <xdr:cNvPr id="3" name="Shape 3"/>
        <xdr:cNvSpPr txBox="1"/>
      </xdr:nvSpPr>
      <xdr:spPr>
        <a:xfrm>
          <a:off x="5267444" y="3559337"/>
          <a:ext cx="157112" cy="441326"/>
        </a:xfrm>
        <a:prstGeom prst="rect">
          <a:avLst/>
        </a:prstGeom>
        <a:noFill/>
        <a:ln>
          <a:noFill/>
        </a:ln>
      </xdr:spPr>
      <xdr:txBody>
        <a:bodyPr anchorCtr="0" anchor="t" bIns="0" lIns="27425" spcFirstLastPara="1" rIns="0" wrap="square" tIns="18275">
          <a:noAutofit/>
        </a:bodyPr>
        <a:lstStyle/>
        <a:p>
          <a:pPr indent="0" lvl="0" marL="0" marR="0" rtl="0" algn="l">
            <a:lnSpc>
              <a:spcPct val="100000"/>
            </a:lnSpc>
            <a:spcBef>
              <a:spcPts val="0"/>
            </a:spcBef>
            <a:spcAft>
              <a:spcPts val="0"/>
            </a:spcAft>
            <a:buClr>
              <a:srgbClr val="000000"/>
            </a:buClr>
            <a:buSzPts val="900"/>
            <a:buFont typeface="DFKai-SB"/>
            <a:buNone/>
          </a:pPr>
          <a:r>
            <a:rPr b="0" i="0" lang="en-US" sz="900" u="none" cap="none" strike="noStrike">
              <a:solidFill>
                <a:srgbClr val="000000"/>
              </a:solidFill>
              <a:latin typeface="DFKai-SB"/>
              <a:ea typeface="DFKai-SB"/>
              <a:cs typeface="DFKai-SB"/>
              <a:sym typeface="DFKai-SB"/>
            </a:rPr>
            <a:t>地點</a:t>
          </a:r>
          <a:endParaRPr sz="1400"/>
        </a:p>
      </xdr:txBody>
    </xdr:sp>
    <xdr:clientData fLocksWithSheet="0"/>
  </xdr:oneCellAnchor>
  <xdr:oneCellAnchor>
    <xdr:from>
      <xdr:col>0</xdr:col>
      <xdr:colOff>0</xdr:colOff>
      <xdr:row>2</xdr:row>
      <xdr:rowOff>200025</xdr:rowOff>
    </xdr:from>
    <xdr:ext cx="295275" cy="438150"/>
    <xdr:sp>
      <xdr:nvSpPr>
        <xdr:cNvPr id="4" name="Shape 4"/>
        <xdr:cNvSpPr txBox="1"/>
      </xdr:nvSpPr>
      <xdr:spPr>
        <a:xfrm>
          <a:off x="5200602" y="3564102"/>
          <a:ext cx="290797" cy="431797"/>
        </a:xfrm>
        <a:prstGeom prst="rect">
          <a:avLst/>
        </a:prstGeom>
        <a:noFill/>
        <a:ln>
          <a:noFill/>
        </a:ln>
      </xdr:spPr>
      <xdr:txBody>
        <a:bodyPr anchorCtr="0" anchor="t" bIns="0" lIns="27425" spcFirstLastPara="1" rIns="0" wrap="square" tIns="27425">
          <a:noAutofit/>
        </a:bodyPr>
        <a:lstStyle/>
        <a:p>
          <a:pPr indent="0" lvl="0" marL="0" marR="0" rtl="0" algn="l">
            <a:lnSpc>
              <a:spcPct val="100000"/>
            </a:lnSpc>
            <a:spcBef>
              <a:spcPts val="0"/>
            </a:spcBef>
            <a:spcAft>
              <a:spcPts val="0"/>
            </a:spcAft>
            <a:buClr>
              <a:srgbClr val="000000"/>
            </a:buClr>
            <a:buSzPts val="1000"/>
            <a:buFont typeface="DFKai-SB"/>
            <a:buNone/>
          </a:pPr>
          <a:r>
            <a:rPr b="0" i="0" lang="en-US" sz="1000" u="none" cap="none" strike="noStrike">
              <a:solidFill>
                <a:srgbClr val="000000"/>
              </a:solidFill>
              <a:latin typeface="DFKai-SB"/>
              <a:ea typeface="DFKai-SB"/>
              <a:cs typeface="DFKai-SB"/>
              <a:sym typeface="DFKai-SB"/>
            </a:rPr>
            <a:t>年</a:t>
          </a:r>
          <a:endParaRPr sz="1400"/>
        </a:p>
        <a:p>
          <a:pPr indent="0" lvl="0" marL="0" marR="0" rtl="0" algn="l">
            <a:lnSpc>
              <a:spcPct val="100000"/>
            </a:lnSpc>
            <a:spcBef>
              <a:spcPts val="0"/>
            </a:spcBef>
            <a:spcAft>
              <a:spcPts val="0"/>
            </a:spcAft>
            <a:buClr>
              <a:srgbClr val="000000"/>
            </a:buClr>
            <a:buSzPts val="1000"/>
            <a:buFont typeface="DFKai-SB"/>
            <a:buNone/>
          </a:pPr>
          <a:r>
            <a:rPr b="0" i="0" lang="en-US" sz="1000" u="none" cap="none" strike="noStrike">
              <a:solidFill>
                <a:srgbClr val="000000"/>
              </a:solidFill>
              <a:latin typeface="DFKai-SB"/>
              <a:ea typeface="DFKai-SB"/>
              <a:cs typeface="DFKai-SB"/>
              <a:sym typeface="DFKai-SB"/>
            </a:rPr>
            <a:t>度</a:t>
          </a:r>
          <a:endParaRPr sz="14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1.22" defaultRowHeight="15.0"/>
  <cols>
    <col customWidth="1" min="1" max="12" width="8.33"/>
    <col customWidth="1" min="13" max="13" width="10.44"/>
    <col customWidth="1" min="14" max="14" width="9.44"/>
    <col customWidth="1" min="15" max="15" width="8.33"/>
    <col customWidth="1" min="16" max="16" width="9.44"/>
    <col customWidth="1" hidden="1" min="17" max="24" width="8.33"/>
    <col customWidth="1" min="25" max="27" width="8.33"/>
  </cols>
  <sheetData>
    <row r="1" ht="15.75" customHeight="1">
      <c r="A1" s="1"/>
      <c r="B1" s="2"/>
      <c r="C1" s="3"/>
      <c r="D1" s="3"/>
      <c r="E1" s="3"/>
      <c r="F1" s="3"/>
      <c r="G1" s="4"/>
      <c r="H1" s="3"/>
      <c r="I1" s="4"/>
      <c r="J1" s="4"/>
      <c r="K1" s="4"/>
      <c r="L1" s="4"/>
      <c r="M1" s="4"/>
      <c r="N1" s="3"/>
      <c r="O1" s="5"/>
      <c r="P1" s="3"/>
      <c r="Q1" s="6"/>
      <c r="R1" s="6"/>
      <c r="S1" s="6"/>
      <c r="T1" s="6"/>
      <c r="U1" s="6"/>
      <c r="V1" s="6"/>
      <c r="W1" s="6"/>
      <c r="X1" s="6"/>
      <c r="Y1" s="6"/>
      <c r="Z1" s="6"/>
      <c r="AA1" s="6"/>
    </row>
    <row r="2" ht="15.75" customHeight="1">
      <c r="A2" s="7"/>
      <c r="B2" s="8"/>
      <c r="C2" s="7"/>
      <c r="D2" s="7"/>
      <c r="E2" s="7"/>
      <c r="F2" s="7"/>
      <c r="G2" s="8"/>
      <c r="H2" s="7"/>
      <c r="I2" s="8"/>
      <c r="J2" s="8"/>
      <c r="K2" s="8"/>
      <c r="L2" s="8"/>
      <c r="M2" s="8"/>
      <c r="N2" s="7"/>
      <c r="O2" s="7"/>
      <c r="P2" s="7"/>
      <c r="Q2" s="7"/>
      <c r="R2" s="7"/>
      <c r="S2" s="7"/>
      <c r="T2" s="7"/>
      <c r="U2" s="7"/>
      <c r="V2" s="7"/>
      <c r="W2" s="7"/>
      <c r="X2" s="7"/>
      <c r="Y2" s="7"/>
      <c r="Z2" s="7"/>
      <c r="AA2" s="7"/>
    </row>
    <row r="3" ht="21.75" customHeight="1">
      <c r="A3" s="9"/>
      <c r="B3" s="10" t="s">
        <v>0</v>
      </c>
      <c r="C3" s="11" t="s">
        <v>1</v>
      </c>
      <c r="D3" s="12" t="s">
        <v>2</v>
      </c>
      <c r="E3" s="12" t="s">
        <v>3</v>
      </c>
      <c r="F3" s="11" t="s">
        <v>4</v>
      </c>
      <c r="G3" s="13" t="s">
        <v>5</v>
      </c>
      <c r="H3" s="12" t="s">
        <v>6</v>
      </c>
      <c r="I3" s="13" t="s">
        <v>7</v>
      </c>
      <c r="J3" s="13" t="s">
        <v>8</v>
      </c>
      <c r="K3" s="14" t="s">
        <v>9</v>
      </c>
      <c r="L3" s="14" t="s">
        <v>10</v>
      </c>
      <c r="M3" s="13" t="s">
        <v>11</v>
      </c>
      <c r="N3" s="13" t="s">
        <v>12</v>
      </c>
      <c r="O3" s="15" t="s">
        <v>13</v>
      </c>
      <c r="P3" s="16" t="s">
        <v>14</v>
      </c>
      <c r="Q3" s="17" t="s">
        <v>15</v>
      </c>
      <c r="R3" s="18" t="s">
        <v>16</v>
      </c>
      <c r="S3" s="18" t="s">
        <v>17</v>
      </c>
      <c r="T3" s="18" t="s">
        <v>18</v>
      </c>
      <c r="U3" s="18" t="s">
        <v>19</v>
      </c>
      <c r="V3" s="18" t="s">
        <v>20</v>
      </c>
      <c r="W3" s="18" t="s">
        <v>21</v>
      </c>
      <c r="X3" s="18" t="s">
        <v>22</v>
      </c>
      <c r="Y3" s="19"/>
      <c r="Z3" s="19"/>
      <c r="AA3" s="19"/>
    </row>
    <row r="4" ht="26.25" customHeight="1">
      <c r="A4" s="20"/>
      <c r="B4" s="21"/>
      <c r="C4" s="21"/>
      <c r="D4" s="21"/>
      <c r="E4" s="21"/>
      <c r="F4" s="21"/>
      <c r="G4" s="21"/>
      <c r="H4" s="21"/>
      <c r="I4" s="21"/>
      <c r="J4" s="21"/>
      <c r="K4" s="21"/>
      <c r="L4" s="21"/>
      <c r="M4" s="21"/>
      <c r="N4" s="21"/>
      <c r="O4" s="21"/>
      <c r="P4" s="22"/>
      <c r="Q4" s="20"/>
      <c r="R4" s="21"/>
      <c r="S4" s="21"/>
      <c r="T4" s="21"/>
      <c r="U4" s="21"/>
      <c r="V4" s="21"/>
      <c r="W4" s="21"/>
      <c r="X4" s="21"/>
      <c r="Y4" s="19"/>
      <c r="Z4" s="19"/>
      <c r="AA4" s="19"/>
    </row>
    <row r="5" ht="15.75" customHeight="1">
      <c r="A5" s="23" t="s">
        <v>23</v>
      </c>
      <c r="B5" s="24"/>
      <c r="C5" s="25">
        <v>163334.0</v>
      </c>
      <c r="D5" s="26"/>
      <c r="E5" s="26"/>
      <c r="F5" s="26"/>
      <c r="G5" s="27">
        <v>764894.0</v>
      </c>
      <c r="H5" s="28">
        <v>445085.0</v>
      </c>
      <c r="I5" s="29">
        <f>IF('秀姑巒溪遊客中心園區'!$B$17=0,"",'秀姑巒溪遊客中心園區'!$B$17)</f>
        <v>86533</v>
      </c>
      <c r="J5" s="30"/>
      <c r="K5" s="30"/>
      <c r="L5" s="30"/>
      <c r="M5" s="29" t="str">
        <f>IF('豐濱鄉親不知子海上古道及周邊地區'!$AC$17=0,"",'豐濱鄉親不知子海上古道及周邊地區'!$AC$17)</f>
        <v/>
      </c>
      <c r="N5" s="26"/>
      <c r="O5" s="30">
        <f t="shared" ref="O5:O31" si="1">SUM(B5:N5)</f>
        <v>1459846</v>
      </c>
      <c r="P5" s="31"/>
      <c r="Q5" s="19"/>
      <c r="R5" s="19"/>
      <c r="S5" s="19"/>
      <c r="T5" s="19"/>
      <c r="U5" s="19"/>
      <c r="V5" s="19"/>
      <c r="W5" s="19"/>
      <c r="X5" s="19"/>
      <c r="Y5" s="19"/>
      <c r="Z5" s="19"/>
      <c r="AA5" s="19"/>
    </row>
    <row r="6" ht="15.75" customHeight="1">
      <c r="A6" s="23" t="s">
        <v>24</v>
      </c>
      <c r="B6" s="24"/>
      <c r="C6" s="25">
        <v>133514.0</v>
      </c>
      <c r="D6" s="26"/>
      <c r="E6" s="26"/>
      <c r="F6" s="26"/>
      <c r="G6" s="27">
        <v>689056.0</v>
      </c>
      <c r="H6" s="28">
        <v>352530.0</v>
      </c>
      <c r="I6" s="29">
        <f>IF('秀姑巒溪遊客中心園區'!$C$17=0,"",'秀姑巒溪遊客中心園區'!$C$17)</f>
        <v>74374</v>
      </c>
      <c r="J6" s="30"/>
      <c r="K6" s="30"/>
      <c r="L6" s="30"/>
      <c r="M6" s="29" t="str">
        <f>IF('豐濱鄉親不知子海上古道及周邊地區'!$AC$17=0,"",'豐濱鄉親不知子海上古道及周邊地區'!$AC$17)</f>
        <v/>
      </c>
      <c r="N6" s="26"/>
      <c r="O6" s="30">
        <f t="shared" si="1"/>
        <v>1249474</v>
      </c>
      <c r="P6" s="32">
        <f t="shared" ref="P6:P42" si="2">(O6-O5)/O5</f>
        <v>-0.1441056111</v>
      </c>
      <c r="Q6" s="19"/>
      <c r="R6" s="19"/>
      <c r="S6" s="19"/>
      <c r="T6" s="19"/>
      <c r="U6" s="19"/>
      <c r="V6" s="19"/>
      <c r="W6" s="19"/>
      <c r="X6" s="19"/>
      <c r="Y6" s="19"/>
      <c r="Z6" s="19"/>
      <c r="AA6" s="19"/>
    </row>
    <row r="7" ht="15.75" customHeight="1">
      <c r="A7" s="33" t="s">
        <v>25</v>
      </c>
      <c r="B7" s="34">
        <v>59383.0</v>
      </c>
      <c r="C7" s="25">
        <v>131340.0</v>
      </c>
      <c r="D7" s="26"/>
      <c r="E7" s="26"/>
      <c r="F7" s="26"/>
      <c r="G7" s="27">
        <v>664210.0</v>
      </c>
      <c r="H7" s="28">
        <v>76100.0</v>
      </c>
      <c r="I7" s="29">
        <f>IF('秀姑巒溪遊客中心園區'!$D$17=0,"",'秀姑巒溪遊客中心園區'!$D$17)</f>
        <v>55660</v>
      </c>
      <c r="J7" s="30"/>
      <c r="K7" s="30"/>
      <c r="L7" s="30"/>
      <c r="M7" s="29" t="str">
        <f>IF('豐濱鄉親不知子海上古道及周邊地區'!$AC$17=0,"",'豐濱鄉親不知子海上古道及周邊地區'!$AC$17)</f>
        <v/>
      </c>
      <c r="N7" s="26"/>
      <c r="O7" s="30">
        <f t="shared" si="1"/>
        <v>986693</v>
      </c>
      <c r="P7" s="32">
        <f t="shared" si="2"/>
        <v>-0.2103132998</v>
      </c>
      <c r="Q7" s="19"/>
      <c r="R7" s="19"/>
      <c r="S7" s="19"/>
      <c r="T7" s="19"/>
      <c r="U7" s="19"/>
      <c r="V7" s="19"/>
      <c r="W7" s="19"/>
      <c r="X7" s="19"/>
      <c r="Y7" s="19"/>
      <c r="Z7" s="19"/>
      <c r="AA7" s="19"/>
    </row>
    <row r="8" ht="15.75" customHeight="1">
      <c r="A8" s="33" t="s">
        <v>26</v>
      </c>
      <c r="B8" s="34">
        <v>71148.0</v>
      </c>
      <c r="C8" s="25">
        <v>200560.0</v>
      </c>
      <c r="D8" s="26"/>
      <c r="E8" s="26"/>
      <c r="F8" s="26"/>
      <c r="G8" s="27">
        <v>771407.0</v>
      </c>
      <c r="H8" s="28">
        <v>218786.0</v>
      </c>
      <c r="I8" s="29">
        <f>IF('秀姑巒溪遊客中心園區'!$E$17=0,"",'秀姑巒溪遊客中心園區'!$E$17)</f>
        <v>58001</v>
      </c>
      <c r="J8" s="30"/>
      <c r="K8" s="30"/>
      <c r="L8" s="30"/>
      <c r="M8" s="29" t="str">
        <f>IF('豐濱鄉親不知子海上古道及周邊地區'!$AC$17=0,"",'豐濱鄉親不知子海上古道及周邊地區'!$AC$17)</f>
        <v/>
      </c>
      <c r="N8" s="26"/>
      <c r="O8" s="30">
        <f t="shared" si="1"/>
        <v>1319902</v>
      </c>
      <c r="P8" s="32">
        <f t="shared" si="2"/>
        <v>0.3377028113</v>
      </c>
      <c r="Q8" s="19"/>
      <c r="R8" s="19"/>
      <c r="S8" s="19"/>
      <c r="T8" s="19"/>
      <c r="U8" s="19"/>
      <c r="V8" s="19"/>
      <c r="W8" s="19"/>
      <c r="X8" s="19"/>
      <c r="Y8" s="19"/>
      <c r="Z8" s="19"/>
      <c r="AA8" s="19"/>
    </row>
    <row r="9" ht="15.75" customHeight="1">
      <c r="A9" s="33" t="s">
        <v>27</v>
      </c>
      <c r="B9" s="34">
        <v>90006.0</v>
      </c>
      <c r="C9" s="25">
        <v>277684.0</v>
      </c>
      <c r="D9" s="26"/>
      <c r="E9" s="26"/>
      <c r="F9" s="26"/>
      <c r="G9" s="27">
        <v>940556.0</v>
      </c>
      <c r="H9" s="28">
        <v>420356.0</v>
      </c>
      <c r="I9" s="29">
        <f>IF('秀姑巒溪遊客中心園區'!$F$17=0,"",'秀姑巒溪遊客中心園區'!$F$17)</f>
        <v>60244</v>
      </c>
      <c r="J9" s="30"/>
      <c r="K9" s="30"/>
      <c r="L9" s="30"/>
      <c r="M9" s="29" t="str">
        <f>IF('豐濱鄉親不知子海上古道及周邊地區'!$AC$17=0,"",'豐濱鄉親不知子海上古道及周邊地區'!$AC$17)</f>
        <v/>
      </c>
      <c r="N9" s="26"/>
      <c r="O9" s="30">
        <f t="shared" si="1"/>
        <v>1788846</v>
      </c>
      <c r="P9" s="32">
        <f t="shared" si="2"/>
        <v>0.3552869834</v>
      </c>
      <c r="Q9" s="19"/>
      <c r="R9" s="19"/>
      <c r="S9" s="19"/>
      <c r="T9" s="19"/>
      <c r="U9" s="19"/>
      <c r="V9" s="19"/>
      <c r="W9" s="19"/>
      <c r="X9" s="19"/>
      <c r="Y9" s="19"/>
      <c r="Z9" s="19"/>
      <c r="AA9" s="19"/>
    </row>
    <row r="10" ht="15.75" customHeight="1">
      <c r="A10" s="33" t="s">
        <v>28</v>
      </c>
      <c r="B10" s="34">
        <v>114421.0</v>
      </c>
      <c r="C10" s="25">
        <v>230928.0</v>
      </c>
      <c r="D10" s="26"/>
      <c r="E10" s="26"/>
      <c r="F10" s="26"/>
      <c r="G10" s="27">
        <v>880132.0</v>
      </c>
      <c r="H10" s="28">
        <v>309928.0</v>
      </c>
      <c r="I10" s="29">
        <f>IF('秀姑巒溪遊客中心園區'!$G$17=0,"",'秀姑巒溪遊客中心園區'!$G$17)</f>
        <v>52083</v>
      </c>
      <c r="J10" s="30"/>
      <c r="K10" s="30"/>
      <c r="L10" s="30"/>
      <c r="M10" s="29" t="str">
        <f>IF('豐濱鄉親不知子海上古道及周邊地區'!$AC$17=0,"",'豐濱鄉親不知子海上古道及周邊地區'!$AC$17)</f>
        <v/>
      </c>
      <c r="N10" s="26"/>
      <c r="O10" s="30">
        <f t="shared" si="1"/>
        <v>1587492</v>
      </c>
      <c r="P10" s="32">
        <f t="shared" si="2"/>
        <v>-0.1125608353</v>
      </c>
      <c r="Q10" s="19"/>
      <c r="R10" s="19"/>
      <c r="S10" s="19"/>
      <c r="T10" s="19"/>
      <c r="U10" s="19"/>
      <c r="V10" s="19"/>
      <c r="W10" s="19"/>
      <c r="X10" s="19"/>
      <c r="Y10" s="19"/>
      <c r="Z10" s="19"/>
      <c r="AA10" s="19"/>
    </row>
    <row r="11" ht="15.75" customHeight="1">
      <c r="A11" s="33" t="s">
        <v>29</v>
      </c>
      <c r="B11" s="34">
        <v>144266.0</v>
      </c>
      <c r="C11" s="25">
        <v>269628.0</v>
      </c>
      <c r="D11" s="26"/>
      <c r="E11" s="26"/>
      <c r="F11" s="26"/>
      <c r="G11" s="27">
        <v>897424.0</v>
      </c>
      <c r="H11" s="28">
        <v>309476.0</v>
      </c>
      <c r="I11" s="29">
        <f>IF('秀姑巒溪遊客中心園區'!$H$17=0,"",'秀姑巒溪遊客中心園區'!$H$17)</f>
        <v>56712</v>
      </c>
      <c r="J11" s="30"/>
      <c r="K11" s="30"/>
      <c r="L11" s="30"/>
      <c r="M11" s="29" t="str">
        <f>IF('豐濱鄉親不知子海上古道及周邊地區'!$AC$17=0,"",'豐濱鄉親不知子海上古道及周邊地區'!$AC$17)</f>
        <v/>
      </c>
      <c r="N11" s="26"/>
      <c r="O11" s="30">
        <f t="shared" si="1"/>
        <v>1677506</v>
      </c>
      <c r="P11" s="32">
        <f t="shared" si="2"/>
        <v>0.05670201803</v>
      </c>
      <c r="Q11" s="19"/>
      <c r="R11" s="19"/>
      <c r="S11" s="19"/>
      <c r="T11" s="19"/>
      <c r="U11" s="19"/>
      <c r="V11" s="19"/>
      <c r="W11" s="19"/>
      <c r="X11" s="19"/>
      <c r="Y11" s="19"/>
      <c r="Z11" s="19"/>
      <c r="AA11" s="19"/>
    </row>
    <row r="12" ht="15.75" customHeight="1">
      <c r="A12" s="33" t="s">
        <v>30</v>
      </c>
      <c r="B12" s="29">
        <v>149114.0</v>
      </c>
      <c r="C12" s="35">
        <v>261056.0</v>
      </c>
      <c r="D12" s="36"/>
      <c r="E12" s="36"/>
      <c r="F12" s="36"/>
      <c r="G12" s="37">
        <v>783380.0</v>
      </c>
      <c r="H12" s="38">
        <v>266080.0</v>
      </c>
      <c r="I12" s="29">
        <f>IF('秀姑巒溪遊客中心園區'!$I$17=0,"",'秀姑巒溪遊客中心園區'!$I$17)</f>
        <v>55259</v>
      </c>
      <c r="J12" s="39"/>
      <c r="K12" s="39"/>
      <c r="L12" s="39"/>
      <c r="M12" s="29" t="str">
        <f>IF('豐濱鄉親不知子海上古道及周邊地區'!$AC$17=0,"",'豐濱鄉親不知子海上古道及周邊地區'!$AC$17)</f>
        <v/>
      </c>
      <c r="N12" s="36"/>
      <c r="O12" s="30">
        <f t="shared" si="1"/>
        <v>1514889</v>
      </c>
      <c r="P12" s="32">
        <f t="shared" si="2"/>
        <v>-0.09693974269</v>
      </c>
      <c r="Q12" s="19"/>
      <c r="R12" s="19"/>
      <c r="S12" s="19"/>
      <c r="T12" s="19"/>
      <c r="U12" s="19"/>
      <c r="V12" s="19"/>
      <c r="W12" s="19"/>
      <c r="X12" s="19"/>
      <c r="Y12" s="19"/>
      <c r="Z12" s="19"/>
      <c r="AA12" s="19"/>
    </row>
    <row r="13" ht="15.75" customHeight="1">
      <c r="A13" s="33" t="s">
        <v>31</v>
      </c>
      <c r="B13" s="29">
        <v>201867.0</v>
      </c>
      <c r="C13" s="35">
        <v>327764.0</v>
      </c>
      <c r="D13" s="36"/>
      <c r="E13" s="36"/>
      <c r="F13" s="36"/>
      <c r="G13" s="37">
        <v>915460.0</v>
      </c>
      <c r="H13" s="38">
        <v>271280.0</v>
      </c>
      <c r="I13" s="29">
        <f>IF('秀姑巒溪遊客中心園區'!$J$17=0,"",'秀姑巒溪遊客中心園區'!$J$17)</f>
        <v>81619</v>
      </c>
      <c r="J13" s="39"/>
      <c r="K13" s="39"/>
      <c r="L13" s="39"/>
      <c r="M13" s="29" t="str">
        <f>IF('豐濱鄉親不知子海上古道及周邊地區'!$AC$17=0,"",'豐濱鄉親不知子海上古道及周邊地區'!$AC$17)</f>
        <v/>
      </c>
      <c r="N13" s="36"/>
      <c r="O13" s="30">
        <f t="shared" si="1"/>
        <v>1797990</v>
      </c>
      <c r="P13" s="32">
        <f t="shared" si="2"/>
        <v>0.1868790387</v>
      </c>
      <c r="Q13" s="19"/>
      <c r="R13" s="19"/>
      <c r="S13" s="19"/>
      <c r="T13" s="19"/>
      <c r="U13" s="19"/>
      <c r="V13" s="19"/>
      <c r="W13" s="19"/>
      <c r="X13" s="19"/>
      <c r="Y13" s="19"/>
      <c r="Z13" s="19"/>
      <c r="AA13" s="19"/>
    </row>
    <row r="14" ht="15.75" customHeight="1">
      <c r="A14" s="33" t="s">
        <v>32</v>
      </c>
      <c r="B14" s="29">
        <f>IF('綠島遊憩區'!$K$17=0,"",'綠島遊憩區'!$K$17)</f>
        <v>290119</v>
      </c>
      <c r="C14" s="35">
        <v>618096.0</v>
      </c>
      <c r="D14" s="36"/>
      <c r="E14" s="36"/>
      <c r="F14" s="36"/>
      <c r="G14" s="37">
        <v>868964.0</v>
      </c>
      <c r="H14" s="38">
        <v>260240.0</v>
      </c>
      <c r="I14" s="29">
        <f>IF('秀姑巒溪遊客中心園區'!$K$17=0,"",'秀姑巒溪遊客中心園區'!$K$17)</f>
        <v>105238</v>
      </c>
      <c r="J14" s="39"/>
      <c r="K14" s="39"/>
      <c r="L14" s="39"/>
      <c r="M14" s="29" t="str">
        <f>IF('豐濱鄉親不知子海上古道及周邊地區'!$AC$17=0,"",'豐濱鄉親不知子海上古道及周邊地區'!$AC$17)</f>
        <v/>
      </c>
      <c r="N14" s="36"/>
      <c r="O14" s="30">
        <f t="shared" si="1"/>
        <v>2142657</v>
      </c>
      <c r="P14" s="32">
        <f t="shared" si="2"/>
        <v>0.1916957269</v>
      </c>
      <c r="Q14" s="19"/>
      <c r="R14" s="19"/>
      <c r="S14" s="19"/>
      <c r="T14" s="19"/>
      <c r="U14" s="19"/>
      <c r="V14" s="19"/>
      <c r="W14" s="19"/>
      <c r="X14" s="19"/>
      <c r="Y14" s="19"/>
      <c r="Z14" s="19"/>
      <c r="AA14" s="19"/>
    </row>
    <row r="15" ht="15.75" customHeight="1">
      <c r="A15" s="33" t="s">
        <v>33</v>
      </c>
      <c r="B15" s="29">
        <f>IF('綠島遊憩區'!$L$17=0,"",'綠島遊憩區'!$L$17)</f>
        <v>295942</v>
      </c>
      <c r="C15" s="35">
        <v>637228.0</v>
      </c>
      <c r="D15" s="36"/>
      <c r="E15" s="36"/>
      <c r="F15" s="36"/>
      <c r="G15" s="37">
        <v>758866.0</v>
      </c>
      <c r="H15" s="38">
        <v>279494.0</v>
      </c>
      <c r="I15" s="29">
        <f>IF('秀姑巒溪遊客中心園區'!$L$17=0,"",'秀姑巒溪遊客中心園區'!$L$17)</f>
        <v>87973</v>
      </c>
      <c r="J15" s="39"/>
      <c r="K15" s="39"/>
      <c r="L15" s="39"/>
      <c r="M15" s="29" t="str">
        <f>IF('豐濱鄉親不知子海上古道及周邊地區'!$AC$17=0,"",'豐濱鄉親不知子海上古道及周邊地區'!$AC$17)</f>
        <v/>
      </c>
      <c r="N15" s="36"/>
      <c r="O15" s="30">
        <f t="shared" si="1"/>
        <v>2059503</v>
      </c>
      <c r="P15" s="32">
        <f t="shared" si="2"/>
        <v>-0.03880882474</v>
      </c>
      <c r="Q15" s="19"/>
      <c r="R15" s="19"/>
      <c r="S15" s="19"/>
      <c r="T15" s="19"/>
      <c r="U15" s="19"/>
      <c r="V15" s="19"/>
      <c r="W15" s="19"/>
      <c r="X15" s="19"/>
      <c r="Y15" s="19"/>
      <c r="Z15" s="19"/>
      <c r="AA15" s="19"/>
    </row>
    <row r="16" ht="15.75" customHeight="1">
      <c r="A16" s="33" t="s">
        <v>34</v>
      </c>
      <c r="B16" s="29">
        <f>IF('綠島遊憩區'!$M$17=0,"",'綠島遊憩區'!$M$17)</f>
        <v>327115</v>
      </c>
      <c r="C16" s="37">
        <f>IF('東部海岸富岡地質公園及加路蘭休憩區'!$M$17=0,"",'東部海岸富岡地質公園及加路蘭休憩區'!$M$17)</f>
        <v>719644</v>
      </c>
      <c r="D16" s="36"/>
      <c r="E16" s="40"/>
      <c r="F16" s="29">
        <f>IF('都歷處本部'!$M$17=0,"",'都歷處本部'!$M$17)</f>
        <v>87926</v>
      </c>
      <c r="G16" s="37">
        <f>IF('三仙台遊憩區及周邊地區'!$M$17=0,"",'三仙台遊憩區及周邊地區'!$M$17)</f>
        <v>818374</v>
      </c>
      <c r="H16" s="29">
        <f>IF('八仙洞遊憩區'!$M$17=0,"",'八仙洞遊憩區'!$M$17)</f>
        <v>276764</v>
      </c>
      <c r="I16" s="29">
        <f>IF('秀姑巒溪遊客中心園區'!$M$17=0,"",'秀姑巒溪遊客中心園區'!$M$17)</f>
        <v>78125</v>
      </c>
      <c r="J16" s="29">
        <f>IF('石梯坪遊憩區'!$M$17=0,"",'石梯坪遊憩區'!$M$17)</f>
        <v>324668</v>
      </c>
      <c r="K16" s="29">
        <f>IF('磯崎海濱遊憩區(113年起停計)'!$M$17=0,"",'磯崎海濱遊憩區(113年起停計)'!$M$17)</f>
        <v>23503</v>
      </c>
      <c r="L16" s="39"/>
      <c r="M16" s="29" t="str">
        <f>IF('豐濱鄉親不知子海上古道及周邊地區'!$AC$17=0,"",'豐濱鄉親不知子海上古道及周邊地區'!$AC$17)</f>
        <v/>
      </c>
      <c r="N16" s="29">
        <f>IF('花蓮遊客中心園區'!$M$17=0,"",'花蓮遊客中心園區'!$M$17)</f>
        <v>61294</v>
      </c>
      <c r="O16" s="30">
        <f t="shared" si="1"/>
        <v>2717413</v>
      </c>
      <c r="P16" s="32">
        <f t="shared" si="2"/>
        <v>0.3194508578</v>
      </c>
      <c r="Q16" s="19"/>
      <c r="R16" s="19"/>
      <c r="S16" s="19"/>
      <c r="T16" s="19"/>
      <c r="U16" s="19"/>
      <c r="V16" s="19"/>
      <c r="W16" s="19"/>
      <c r="X16" s="19"/>
      <c r="Y16" s="19"/>
      <c r="Z16" s="19"/>
      <c r="AA16" s="19"/>
    </row>
    <row r="17" ht="15.75" customHeight="1">
      <c r="A17" s="33" t="s">
        <v>35</v>
      </c>
      <c r="B17" s="29">
        <f>IF('綠島遊憩區'!$N$17=0,"",'綠島遊憩區'!$N$17)</f>
        <v>359221</v>
      </c>
      <c r="C17" s="37">
        <f>IF('東部海岸富岡地質公園及加路蘭休憩區'!$N$17=0,"",'東部海岸富岡地質公園及加路蘭休憩區'!$N$17)</f>
        <v>494302</v>
      </c>
      <c r="D17" s="38"/>
      <c r="E17" s="41"/>
      <c r="F17" s="29">
        <f>IF('都歷處本部'!$N$17=0,"",'都歷處本部'!$N$17)</f>
        <v>82453</v>
      </c>
      <c r="G17" s="37">
        <f>IF('三仙台遊憩區及周邊地區'!$N$17=0,"",'三仙台遊憩區及周邊地區'!$N$17)</f>
        <v>561243</v>
      </c>
      <c r="H17" s="29">
        <f>IF('八仙洞遊憩區'!$N$17=0,"",'八仙洞遊憩區'!$N$17)</f>
        <v>248552</v>
      </c>
      <c r="I17" s="29">
        <f>IF('秀姑巒溪遊客中心園區'!$N$17=0,"",'秀姑巒溪遊客中心園區'!$N$17)</f>
        <v>81577</v>
      </c>
      <c r="J17" s="29">
        <f>IF('石梯坪遊憩區'!$N$17=0,"",'石梯坪遊憩區'!$N$17)</f>
        <v>322417</v>
      </c>
      <c r="K17" s="29">
        <f>IF('磯崎海濱遊憩區(113年起停計)'!$N$17=0,"",'磯崎海濱遊憩區(113年起停計)'!$N$17)</f>
        <v>16329</v>
      </c>
      <c r="L17" s="39"/>
      <c r="M17" s="29" t="str">
        <f>IF('豐濱鄉親不知子海上古道及周邊地區'!$AC$17=0,"",'豐濱鄉親不知子海上古道及周邊地區'!$AC$17)</f>
        <v/>
      </c>
      <c r="N17" s="29">
        <f>IF('花蓮遊客中心園區'!$N$17=0,"",'花蓮遊客中心園區'!$N$17)</f>
        <v>50862</v>
      </c>
      <c r="O17" s="30">
        <f t="shared" si="1"/>
        <v>2216956</v>
      </c>
      <c r="P17" s="32">
        <f t="shared" si="2"/>
        <v>-0.1841667056</v>
      </c>
      <c r="Q17" s="19"/>
      <c r="R17" s="19"/>
      <c r="S17" s="19"/>
      <c r="T17" s="19"/>
      <c r="U17" s="19"/>
      <c r="V17" s="19"/>
      <c r="W17" s="19"/>
      <c r="X17" s="19"/>
      <c r="Y17" s="19"/>
      <c r="Z17" s="19"/>
      <c r="AA17" s="19"/>
    </row>
    <row r="18" ht="15.75" customHeight="1">
      <c r="A18" s="33" t="s">
        <v>36</v>
      </c>
      <c r="B18" s="29">
        <f>IF('綠島遊憩區'!$O$17=0,"",'綠島遊憩區'!$O$17)</f>
        <v>347623</v>
      </c>
      <c r="C18" s="37">
        <f>IF('東部海岸富岡地質公園及加路蘭休憩區'!$O$17=0,"",'東部海岸富岡地質公園及加路蘭休憩區'!$O$17)</f>
        <v>456405</v>
      </c>
      <c r="D18" s="38"/>
      <c r="E18" s="41"/>
      <c r="F18" s="29">
        <f>IF('都歷處本部'!$O$17=0,"",'都歷處本部'!$O$17)</f>
        <v>125676</v>
      </c>
      <c r="G18" s="37">
        <f>IF('三仙台遊憩區及周邊地區'!$O$17=0,"",'三仙台遊憩區及周邊地區'!$O$17)</f>
        <v>584706</v>
      </c>
      <c r="H18" s="29">
        <f>IF('八仙洞遊憩區'!$O$17=0,"",'八仙洞遊憩區'!$O$17)</f>
        <v>268056</v>
      </c>
      <c r="I18" s="29">
        <f>IF('秀姑巒溪遊客中心園區'!$O$17=0,"",'秀姑巒溪遊客中心園區'!$O$17)</f>
        <v>81181</v>
      </c>
      <c r="J18" s="29">
        <f>IF('石梯坪遊憩區'!$O$17=0,"",'石梯坪遊憩區'!$O$17)</f>
        <v>250168</v>
      </c>
      <c r="K18" s="29">
        <f>IF('磯崎海濱遊憩區(113年起停計)'!$O$17=0,"",'磯崎海濱遊憩區(113年起停計)'!$O$17)</f>
        <v>15200</v>
      </c>
      <c r="L18" s="39"/>
      <c r="M18" s="29" t="str">
        <f>IF('豐濱鄉親不知子海上古道及周邊地區'!$AC$17=0,"",'豐濱鄉親不知子海上古道及周邊地區'!$AC$17)</f>
        <v/>
      </c>
      <c r="N18" s="29">
        <f>IF('花蓮遊客中心園區'!$O$17=0,"",'花蓮遊客中心園區'!$O$17)</f>
        <v>59878</v>
      </c>
      <c r="O18" s="30">
        <f t="shared" si="1"/>
        <v>2188893</v>
      </c>
      <c r="P18" s="32">
        <f t="shared" si="2"/>
        <v>-0.01265834775</v>
      </c>
      <c r="Q18" s="42">
        <f>AVERAGE(G28:G34)</f>
        <v>701566.7986</v>
      </c>
      <c r="R18" s="19"/>
      <c r="S18" s="19"/>
      <c r="T18" s="19"/>
      <c r="U18" s="19"/>
      <c r="V18" s="19"/>
      <c r="W18" s="19"/>
      <c r="X18" s="19"/>
      <c r="Y18" s="19"/>
      <c r="Z18" s="19"/>
      <c r="AA18" s="19"/>
    </row>
    <row r="19" ht="15.75" customHeight="1">
      <c r="A19" s="33" t="s">
        <v>37</v>
      </c>
      <c r="B19" s="29">
        <f>IF('綠島遊憩區'!$P$17=0,"",'綠島遊憩區'!$P$17)</f>
        <v>301726</v>
      </c>
      <c r="C19" s="37">
        <f>IF('東部海岸富岡地質公園及加路蘭休憩區'!$P$17=0,"",'東部海岸富岡地質公園及加路蘭休憩區'!$P$17)</f>
        <v>375445</v>
      </c>
      <c r="D19" s="38"/>
      <c r="E19" s="41"/>
      <c r="F19" s="29">
        <f>IF('都歷處本部'!$P$17=0,"",'都歷處本部'!$P$17)</f>
        <v>102514</v>
      </c>
      <c r="G19" s="37">
        <f>IF('三仙台遊憩區及周邊地區'!$P$17=0,"",'三仙台遊憩區及周邊地區'!$P$17)</f>
        <v>569123</v>
      </c>
      <c r="H19" s="29">
        <f>IF('八仙洞遊憩區'!$P$17=0,"",'八仙洞遊憩區'!$P$17)</f>
        <v>276833</v>
      </c>
      <c r="I19" s="29">
        <f>IF('秀姑巒溪遊客中心園區'!$P$17=0,"",'秀姑巒溪遊客中心園區'!$P$17)</f>
        <v>89854</v>
      </c>
      <c r="J19" s="29">
        <f>IF('石梯坪遊憩區'!$P$17=0,"",'石梯坪遊憩區'!$P$17)</f>
        <v>165183</v>
      </c>
      <c r="K19" s="29">
        <f>IF('磯崎海濱遊憩區(113年起停計)'!$P$17=0,"",'磯崎海濱遊憩區(113年起停計)'!$P$17)</f>
        <v>32449</v>
      </c>
      <c r="L19" s="29">
        <f>IF('花蓮海洋公園'!$P$17=0,"",'花蓮海洋公園'!$P$17)</f>
        <v>1256567</v>
      </c>
      <c r="M19" s="29" t="str">
        <f>IF('豐濱鄉親不知子海上古道及周邊地區'!$AC$17=0,"",'豐濱鄉親不知子海上古道及周邊地區'!$AC$17)</f>
        <v/>
      </c>
      <c r="N19" s="29">
        <f>IF('花蓮遊客中心園區'!$P$17=0,"",'花蓮遊客中心園區'!$P$17)</f>
        <v>68083</v>
      </c>
      <c r="O19" s="30">
        <f t="shared" si="1"/>
        <v>3237777</v>
      </c>
      <c r="P19" s="32">
        <f t="shared" si="2"/>
        <v>0.4791846838</v>
      </c>
      <c r="Q19" s="19"/>
      <c r="R19" s="19"/>
      <c r="S19" s="19"/>
      <c r="T19" s="19"/>
      <c r="U19" s="19"/>
      <c r="V19" s="19"/>
      <c r="W19" s="19"/>
      <c r="X19" s="19"/>
      <c r="Y19" s="19"/>
      <c r="Z19" s="19"/>
      <c r="AA19" s="19"/>
    </row>
    <row r="20" ht="15.75" customHeight="1">
      <c r="A20" s="33" t="s">
        <v>38</v>
      </c>
      <c r="B20" s="29">
        <f>IF('綠島遊憩區'!$Q$17=0,"",'綠島遊憩區'!$Q$17)</f>
        <v>397330</v>
      </c>
      <c r="C20" s="37">
        <f>IF('東部海岸富岡地質公園及加路蘭休憩區'!$Q$17=0,"",'東部海岸富岡地質公園及加路蘭休憩區'!$Q$17)</f>
        <v>387928</v>
      </c>
      <c r="D20" s="38"/>
      <c r="E20" s="41"/>
      <c r="F20" s="29">
        <f>IF('都歷處本部'!$Q$17=0,"",'都歷處本部'!$Q$17)</f>
        <v>122973</v>
      </c>
      <c r="G20" s="37">
        <f>IF('三仙台遊憩區及周邊地區'!$Q$17=0,"",'三仙台遊憩區及周邊地區'!$Q$17)</f>
        <v>489188</v>
      </c>
      <c r="H20" s="29">
        <f>IF('八仙洞遊憩區'!$Q$17=0,"",'八仙洞遊憩區'!$Q$17)</f>
        <v>210511</v>
      </c>
      <c r="I20" s="29">
        <f>IF('秀姑巒溪遊客中心園區'!$Q$17=0,"",'秀姑巒溪遊客中心園區'!$Q$17)</f>
        <v>93140</v>
      </c>
      <c r="J20" s="29">
        <f>IF('石梯坪遊憩區'!$Q$17=0,"",'石梯坪遊憩區'!$Q$17)</f>
        <v>365363</v>
      </c>
      <c r="K20" s="29">
        <f>IF('磯崎海濱遊憩區(113年起停計)'!$Q$17=0,"",'磯崎海濱遊憩區(113年起停計)'!$Q$17)</f>
        <v>32409</v>
      </c>
      <c r="L20" s="29">
        <f>IF('花蓮海洋公園'!$Q$17=0,"",'花蓮海洋公園'!$Q$17)</f>
        <v>907353</v>
      </c>
      <c r="M20" s="29" t="str">
        <f>IF('豐濱鄉親不知子海上古道及周邊地區'!$AC$17=0,"",'豐濱鄉親不知子海上古道及周邊地區'!$AC$17)</f>
        <v/>
      </c>
      <c r="N20" s="29">
        <f>IF('花蓮遊客中心園區'!$Q$17=0,"",'花蓮遊客中心園區'!$Q$17)</f>
        <v>83018</v>
      </c>
      <c r="O20" s="30">
        <f t="shared" si="1"/>
        <v>3089213</v>
      </c>
      <c r="P20" s="32">
        <f t="shared" si="2"/>
        <v>-0.04588456833</v>
      </c>
      <c r="Q20" s="19"/>
      <c r="R20" s="19"/>
      <c r="S20" s="19"/>
      <c r="T20" s="19"/>
      <c r="U20" s="19"/>
      <c r="V20" s="19"/>
      <c r="W20" s="19"/>
      <c r="X20" s="19"/>
      <c r="Y20" s="19"/>
      <c r="Z20" s="19"/>
      <c r="AA20" s="19"/>
    </row>
    <row r="21" ht="15.75" customHeight="1">
      <c r="A21" s="33" t="s">
        <v>39</v>
      </c>
      <c r="B21" s="29">
        <f>IF('綠島遊憩區'!$R$17=0,"",'綠島遊憩區'!$R$17)</f>
        <v>381329</v>
      </c>
      <c r="C21" s="37">
        <f>IF('東部海岸富岡地質公園及加路蘭休憩區'!$R$17=0,"",'東部海岸富岡地質公園及加路蘭休憩區'!$R$17)</f>
        <v>354417</v>
      </c>
      <c r="D21" s="29"/>
      <c r="E21" s="29"/>
      <c r="F21" s="29">
        <f>IF('都歷處本部'!$R$17=0,"",'都歷處本部'!$R$17)</f>
        <v>167440</v>
      </c>
      <c r="G21" s="37">
        <f>IF('三仙台遊憩區及周邊地區'!$R$17=0,"",'三仙台遊憩區及周邊地區'!$R$17)</f>
        <v>475927</v>
      </c>
      <c r="H21" s="29">
        <f>IF('八仙洞遊憩區'!$R$17=0,"",'八仙洞遊憩區'!$R$17)</f>
        <v>197554</v>
      </c>
      <c r="I21" s="29">
        <f>IF('秀姑巒溪遊客中心園區'!$R$17=0,"",'秀姑巒溪遊客中心園區'!$R$17)</f>
        <v>63780</v>
      </c>
      <c r="J21" s="29">
        <f>IF('石梯坪遊憩區'!$R$17=0,"",'石梯坪遊憩區'!$R$17)</f>
        <v>453344</v>
      </c>
      <c r="K21" s="29">
        <f>IF('磯崎海濱遊憩區(113年起停計)'!$R$17=0,"",'磯崎海濱遊憩區(113年起停計)'!$R$17)</f>
        <v>20858</v>
      </c>
      <c r="L21" s="29">
        <f>IF('花蓮海洋公園'!$R$17=0,"",'花蓮海洋公園'!$R$17)</f>
        <v>819191</v>
      </c>
      <c r="M21" s="29" t="str">
        <f>IF('豐濱鄉親不知子海上古道及周邊地區'!$AC$17=0,"",'豐濱鄉親不知子海上古道及周邊地區'!$AC$17)</f>
        <v/>
      </c>
      <c r="N21" s="29">
        <f>IF('花蓮遊客中心園區'!$R$17=0,"",'花蓮遊客中心園區'!$R$17)</f>
        <v>105867</v>
      </c>
      <c r="O21" s="29">
        <f t="shared" si="1"/>
        <v>3039707</v>
      </c>
      <c r="P21" s="32">
        <f t="shared" si="2"/>
        <v>-0.01602544078</v>
      </c>
      <c r="Q21" s="42"/>
      <c r="R21" s="42"/>
      <c r="S21" s="19"/>
      <c r="T21" s="19"/>
      <c r="U21" s="19"/>
      <c r="V21" s="19"/>
      <c r="W21" s="19"/>
      <c r="X21" s="19"/>
      <c r="Y21" s="19"/>
      <c r="Z21" s="19"/>
      <c r="AA21" s="19"/>
    </row>
    <row r="22" ht="15.75" customHeight="1">
      <c r="A22" s="33" t="s">
        <v>40</v>
      </c>
      <c r="B22" s="29">
        <f>IF('綠島遊憩區'!$S$17=0,"",'綠島遊憩區'!$S$17)</f>
        <v>382908</v>
      </c>
      <c r="C22" s="37">
        <f>IF('東部海岸富岡地質公園及加路蘭休憩區'!$S$17=0,"",'東部海岸富岡地質公園及加路蘭休憩區'!$S$17)</f>
        <v>322186</v>
      </c>
      <c r="D22" s="29"/>
      <c r="E22" s="29"/>
      <c r="F22" s="29">
        <f>IF('都歷處本部'!$S$17=0,"",'都歷處本部'!$S$17)</f>
        <v>116542</v>
      </c>
      <c r="G22" s="37">
        <f>IF('三仙台遊憩區及周邊地區'!$S$17=0,"",'三仙台遊憩區及周邊地區'!$S$17)</f>
        <v>513460</v>
      </c>
      <c r="H22" s="29">
        <f>IF('八仙洞遊憩區'!$S$17=0,"",'八仙洞遊憩區'!$S$17)</f>
        <v>200477</v>
      </c>
      <c r="I22" s="29">
        <f>IF('秀姑巒溪遊客中心園區'!$S$17=0,"",'秀姑巒溪遊客中心園區'!$S$17)</f>
        <v>126140</v>
      </c>
      <c r="J22" s="29">
        <f>IF('石梯坪遊憩區'!$S$17=0,"",'石梯坪遊憩區'!$S$17)</f>
        <v>394612</v>
      </c>
      <c r="K22" s="29">
        <f>IF('磯崎海濱遊憩區(113年起停計)'!$S$17=0,"",'磯崎海濱遊憩區(113年起停計)'!$S$17)</f>
        <v>20197</v>
      </c>
      <c r="L22" s="29">
        <f>IF('花蓮海洋公園'!$S$17=0,"",'花蓮海洋公園'!$S$17)</f>
        <v>743810</v>
      </c>
      <c r="M22" s="29" t="str">
        <f>IF('豐濱鄉親不知子海上古道及周邊地區'!$AC$17=0,"",'豐濱鄉親不知子海上古道及周邊地區'!$AC$17)</f>
        <v/>
      </c>
      <c r="N22" s="29">
        <f>IF('花蓮遊客中心園區'!$S$17=0,"",'花蓮遊客中心園區'!$S$17)</f>
        <v>113178</v>
      </c>
      <c r="O22" s="29">
        <f t="shared" si="1"/>
        <v>2933510</v>
      </c>
      <c r="P22" s="32">
        <f t="shared" si="2"/>
        <v>-0.03493659093</v>
      </c>
      <c r="Q22" s="43"/>
      <c r="R22" s="43"/>
      <c r="S22" s="19"/>
      <c r="T22" s="19"/>
      <c r="U22" s="19"/>
      <c r="V22" s="19"/>
      <c r="W22" s="19"/>
      <c r="X22" s="19"/>
      <c r="Y22" s="19"/>
      <c r="Z22" s="19"/>
      <c r="AA22" s="19"/>
    </row>
    <row r="23" ht="15.75" customHeight="1">
      <c r="A23" s="33" t="s">
        <v>41</v>
      </c>
      <c r="B23" s="29">
        <f>IF('綠島遊憩區'!$T$17=0,"",'綠島遊憩區'!$T$17)</f>
        <v>335380</v>
      </c>
      <c r="C23" s="37">
        <f>IF('東部海岸富岡地質公園及加路蘭休憩區'!$T$17=0,"",'東部海岸富岡地質公園及加路蘭休憩區'!$T$17)</f>
        <v>257076</v>
      </c>
      <c r="D23" s="29"/>
      <c r="E23" s="29"/>
      <c r="F23" s="29">
        <f>IF('都歷處本部'!$T$17=0,"",'都歷處本部'!$T$17)</f>
        <v>132298</v>
      </c>
      <c r="G23" s="37">
        <f>IF('三仙台遊憩區及周邊地區'!$T$17=0,"",'三仙台遊憩區及周邊地區'!$T$17)</f>
        <v>442474</v>
      </c>
      <c r="H23" s="29">
        <f>IF('八仙洞遊憩區'!$T$17=0,"",'八仙洞遊憩區'!$T$17)</f>
        <v>158436</v>
      </c>
      <c r="I23" s="29">
        <f>IF('秀姑巒溪遊客中心園區'!$T$17=0,"",'秀姑巒溪遊客中心園區'!$T$17)</f>
        <v>66668</v>
      </c>
      <c r="J23" s="29">
        <f>IF('石梯坪遊憩區'!$T$17=0,"",'石梯坪遊憩區'!$T$17)</f>
        <v>245306</v>
      </c>
      <c r="K23" s="29">
        <f>IF('磯崎海濱遊憩區(113年起停計)'!$T$17=0,"",'磯崎海濱遊憩區(113年起停計)'!$T$17)</f>
        <v>21045</v>
      </c>
      <c r="L23" s="29">
        <f>IF('花蓮海洋公園'!$T$17=0,"",'花蓮海洋公園'!$T$17)</f>
        <v>674953</v>
      </c>
      <c r="M23" s="29" t="str">
        <f>IF('豐濱鄉親不知子海上古道及周邊地區'!$AC$17=0,"",'豐濱鄉親不知子海上古道及周邊地區'!$AC$17)</f>
        <v/>
      </c>
      <c r="N23" s="29">
        <f>IF('花蓮遊客中心園區'!$T$17=0,"",'花蓮遊客中心園區'!$T$17)</f>
        <v>137270</v>
      </c>
      <c r="O23" s="29">
        <f t="shared" si="1"/>
        <v>2470906</v>
      </c>
      <c r="P23" s="32">
        <f t="shared" si="2"/>
        <v>-0.1576964115</v>
      </c>
      <c r="Q23" s="19"/>
      <c r="R23" s="19">
        <v>3863.0</v>
      </c>
      <c r="S23" s="19"/>
      <c r="T23" s="19">
        <v>1.6</v>
      </c>
      <c r="U23" s="19"/>
      <c r="V23" s="19">
        <v>2125432.0</v>
      </c>
      <c r="W23" s="19"/>
      <c r="X23" s="19"/>
      <c r="Y23" s="19"/>
      <c r="Z23" s="19"/>
      <c r="AA23" s="19"/>
    </row>
    <row r="24" ht="15.75" customHeight="1">
      <c r="A24" s="33" t="s">
        <v>42</v>
      </c>
      <c r="B24" s="29">
        <f>IF('綠島遊憩區'!$U$17=0,"",'綠島遊憩區'!$U$17)</f>
        <v>316201</v>
      </c>
      <c r="C24" s="37">
        <f>IF('東部海岸富岡地質公園及加路蘭休憩區'!$U$17=0,"",'東部海岸富岡地質公園及加路蘭休憩區'!$U$17)</f>
        <v>226876</v>
      </c>
      <c r="D24" s="29"/>
      <c r="E24" s="29"/>
      <c r="F24" s="29">
        <f>IF('都歷處本部'!$U$17=0,"",'都歷處本部'!$U$17)</f>
        <v>74260</v>
      </c>
      <c r="G24" s="37">
        <f>IF('三仙台遊憩區及周邊地區'!$U$17=0,"",'三仙台遊憩區及周邊地區'!$U$17)</f>
        <v>445012</v>
      </c>
      <c r="H24" s="29">
        <f>IF('八仙洞遊憩區'!$U$17=0,"",'八仙洞遊憩區'!$U$17)</f>
        <v>141808</v>
      </c>
      <c r="I24" s="29">
        <f>IF('秀姑巒溪遊客中心園區'!$U$17=0,"",'秀姑巒溪遊客中心園區'!$U$17)</f>
        <v>86578</v>
      </c>
      <c r="J24" s="29">
        <f>IF('石梯坪遊憩區'!$U$17=0,"",'石梯坪遊憩區'!$U$17)</f>
        <v>289070</v>
      </c>
      <c r="K24" s="29">
        <f>IF('磯崎海濱遊憩區(113年起停計)'!$U$17=0,"",'磯崎海濱遊憩區(113年起停計)'!$U$17)</f>
        <v>17449</v>
      </c>
      <c r="L24" s="29">
        <f>IF('花蓮海洋公園'!$U$17=0,"",'花蓮海洋公園'!$U$17)</f>
        <v>622352</v>
      </c>
      <c r="M24" s="29" t="str">
        <f>IF('豐濱鄉親不知子海上古道及周邊地區'!$AC$17=0,"",'豐濱鄉親不知子海上古道及周邊地區'!$AC$17)</f>
        <v/>
      </c>
      <c r="N24" s="29">
        <f>IF('花蓮遊客中心園區'!$U$17=0,"",'花蓮遊客中心園區'!$U$17)</f>
        <v>57777</v>
      </c>
      <c r="O24" s="29">
        <f t="shared" si="1"/>
        <v>2277383</v>
      </c>
      <c r="P24" s="32">
        <f t="shared" si="2"/>
        <v>-0.07832066457</v>
      </c>
      <c r="Q24" s="19"/>
      <c r="R24" s="19">
        <v>1816.43</v>
      </c>
      <c r="S24" s="19">
        <v>2.13</v>
      </c>
      <c r="T24" s="19">
        <v>1.37</v>
      </c>
      <c r="U24" s="19"/>
      <c r="V24" s="19">
        <v>2261076.0</v>
      </c>
      <c r="W24" s="44">
        <v>0.06</v>
      </c>
      <c r="X24" s="19"/>
      <c r="Y24" s="19"/>
      <c r="Z24" s="19"/>
      <c r="AA24" s="19"/>
    </row>
    <row r="25" ht="15.75" customHeight="1">
      <c r="A25" s="33" t="s">
        <v>43</v>
      </c>
      <c r="B25" s="29">
        <f>IF('綠島遊憩區'!$V$17=0,"",'綠島遊憩區'!$V$17)</f>
        <v>277147</v>
      </c>
      <c r="C25" s="37">
        <f>IF('東部海岸富岡地質公園及加路蘭休憩區'!$V$17=0,"",'東部海岸富岡地質公園及加路蘭休憩區'!$V$17)</f>
        <v>222936</v>
      </c>
      <c r="D25" s="29"/>
      <c r="E25" s="29"/>
      <c r="F25" s="29">
        <f>IF('都歷處本部'!$V$17=0,"",'都歷處本部'!$V$17)</f>
        <v>79623</v>
      </c>
      <c r="G25" s="37">
        <f>IF('三仙台遊憩區及周邊地區'!$V$17=0,"",'三仙台遊憩區及周邊地區'!$V$17)</f>
        <v>602393</v>
      </c>
      <c r="H25" s="29">
        <f>IF('八仙洞遊憩區'!$V$17=0,"",'八仙洞遊憩區'!$V$17)</f>
        <v>187567</v>
      </c>
      <c r="I25" s="29">
        <f>IF('秀姑巒溪遊客中心園區'!$V$17=0,"",'秀姑巒溪遊客中心園區'!$V$17)</f>
        <v>221567</v>
      </c>
      <c r="J25" s="29">
        <f>IF('石梯坪遊憩區'!$V$17=0,"",'石梯坪遊憩區'!$V$17)</f>
        <v>384874</v>
      </c>
      <c r="K25" s="29">
        <f>IF('磯崎海濱遊憩區(113年起停計)'!$V$17=0,"",'磯崎海濱遊憩區(113年起停計)'!$V$17)</f>
        <v>8465</v>
      </c>
      <c r="L25" s="29">
        <f>IF('花蓮海洋公園'!$V$17=0,"",'花蓮海洋公園'!$V$17)</f>
        <v>515754</v>
      </c>
      <c r="M25" s="29" t="str">
        <f>IF('豐濱鄉親不知子海上古道及周邊地區'!$AC$17=0,"",'豐濱鄉親不知子海上古道及周邊地區'!$AC$17)</f>
        <v/>
      </c>
      <c r="N25" s="29">
        <f>IF('花蓮遊客中心園區'!$V$17=0,"",'花蓮遊客中心園區'!$V$17)</f>
        <v>19182</v>
      </c>
      <c r="O25" s="29">
        <f t="shared" si="1"/>
        <v>2519508</v>
      </c>
      <c r="P25" s="32">
        <f t="shared" si="2"/>
        <v>0.1063172071</v>
      </c>
      <c r="Q25" s="19"/>
      <c r="R25" s="19">
        <v>2271.0</v>
      </c>
      <c r="S25" s="19">
        <v>2.25</v>
      </c>
      <c r="T25" s="19">
        <v>1.14</v>
      </c>
      <c r="U25" s="19"/>
      <c r="V25" s="19">
        <v>2258541.0</v>
      </c>
      <c r="W25" s="44">
        <v>0.0615</v>
      </c>
      <c r="X25" s="19"/>
      <c r="Y25" s="19"/>
      <c r="Z25" s="19"/>
      <c r="AA25" s="19"/>
    </row>
    <row r="26" ht="15.75" customHeight="1">
      <c r="A26" s="33" t="s">
        <v>44</v>
      </c>
      <c r="B26" s="29">
        <f>IF('綠島遊憩區'!$W$17=0,"",'綠島遊憩區'!$W$17)</f>
        <v>328697</v>
      </c>
      <c r="C26" s="37">
        <f>IF('東部海岸富岡地質公園及加路蘭休憩區'!$W$17=0,"",'東部海岸富岡地質公園及加路蘭休憩區'!$W$17)</f>
        <v>219541</v>
      </c>
      <c r="D26" s="29"/>
      <c r="E26" s="29"/>
      <c r="F26" s="29">
        <f>IF('都歷處本部'!$W$17=0,"",'都歷處本部'!$W$17)</f>
        <v>80995</v>
      </c>
      <c r="G26" s="37">
        <f>IF('三仙台遊憩區及周邊地區'!$W$17=0,"",'三仙台遊憩區及周邊地區'!$W$17)</f>
        <v>755416</v>
      </c>
      <c r="H26" s="29">
        <f>IF('八仙洞遊憩區'!$W$17=0,"",'八仙洞遊憩區'!$W$17)</f>
        <v>134192</v>
      </c>
      <c r="I26" s="29">
        <f>IF('秀姑巒溪遊客中心園區'!$W$17=0,"",'秀姑巒溪遊客中心園區'!$W$17)</f>
        <v>285110</v>
      </c>
      <c r="J26" s="29">
        <f>IF('石梯坪遊憩區'!$W$17=0,"",'石梯坪遊憩區'!$W$17)</f>
        <v>657048</v>
      </c>
      <c r="K26" s="29">
        <f>IF('磯崎海濱遊憩區(113年起停計)'!$W$17=0,"",'磯崎海濱遊憩區(113年起停計)'!$W$17)</f>
        <v>21684</v>
      </c>
      <c r="L26" s="29">
        <f>IF('花蓮海洋公園'!$W$17=0,"",'花蓮海洋公園'!$W$17)</f>
        <v>529580</v>
      </c>
      <c r="M26" s="29" t="str">
        <f>IF('豐濱鄉親不知子海上古道及周邊地區'!$AC$17=0,"",'豐濱鄉親不知子海上古道及周邊地區'!$AC$17)</f>
        <v/>
      </c>
      <c r="N26" s="29">
        <f>IF('花蓮遊客中心園區'!$W$17=0,"",'花蓮遊客中心園區'!$W$17)</f>
        <v>36881</v>
      </c>
      <c r="O26" s="29">
        <f t="shared" si="1"/>
        <v>3049144</v>
      </c>
      <c r="P26" s="32">
        <f t="shared" si="2"/>
        <v>0.2102140577</v>
      </c>
      <c r="Q26" s="19"/>
      <c r="R26" s="19">
        <v>2096.64</v>
      </c>
      <c r="S26" s="19">
        <v>2.68</v>
      </c>
      <c r="T26" s="19">
        <v>1.09</v>
      </c>
      <c r="U26" s="19"/>
      <c r="V26" s="19">
        <v>2313376.0</v>
      </c>
      <c r="W26" s="44">
        <v>0.1035</v>
      </c>
      <c r="X26" s="19"/>
      <c r="Y26" s="19"/>
      <c r="Z26" s="19"/>
      <c r="AA26" s="19"/>
    </row>
    <row r="27" ht="15.75" customHeight="1">
      <c r="A27" s="45">
        <v>100.0</v>
      </c>
      <c r="B27" s="29">
        <f>IF('綠島遊憩區'!$X$17=0,"",'綠島遊憩區'!$X$17)</f>
        <v>319116</v>
      </c>
      <c r="C27" s="37">
        <f>IF('東部海岸富岡地質公園及加路蘭休憩區'!$X$17=0,"",'東部海岸富岡地質公園及加路蘭休憩區'!$X$17)</f>
        <v>210495</v>
      </c>
      <c r="D27" s="29"/>
      <c r="E27" s="29"/>
      <c r="F27" s="29">
        <f>IF('都歷處本部'!$X$17=0,"",'都歷處本部'!$X$17)</f>
        <v>81061</v>
      </c>
      <c r="G27" s="37">
        <f>IF('三仙台遊憩區及周邊地區'!$X$17=0,"",'三仙台遊憩區及周邊地區'!$X$17)</f>
        <v>670437</v>
      </c>
      <c r="H27" s="29">
        <f>IF('八仙洞遊憩區'!$X$17=0,"",'八仙洞遊憩區'!$X$17)</f>
        <v>111235</v>
      </c>
      <c r="I27" s="29">
        <f>IF('秀姑巒溪遊客中心園區'!$X$17=0,"",'秀姑巒溪遊客中心園區'!$X$17)</f>
        <v>342401</v>
      </c>
      <c r="J27" s="29">
        <f>IF('石梯坪遊憩區'!$X$17=0,"",'石梯坪遊憩區'!$X$17)</f>
        <v>686641</v>
      </c>
      <c r="K27" s="29">
        <f>IF('磯崎海濱遊憩區(113年起停計)'!$X$17=0,"",'磯崎海濱遊憩區(113年起停計)'!$X$17)</f>
        <v>11930</v>
      </c>
      <c r="L27" s="29">
        <f>IF('花蓮海洋公園'!$X$17=0,"",'花蓮海洋公園'!$X$17)</f>
        <v>497243</v>
      </c>
      <c r="M27" s="29" t="str">
        <f>IF('豐濱鄉親不知子海上古道及周邊地區'!$AC$17=0,"",'豐濱鄉親不知子海上古道及周邊地區'!$AC$17)</f>
        <v/>
      </c>
      <c r="N27" s="29">
        <f>IF('花蓮遊客中心園區'!$X$17=0,"",'花蓮遊客中心園區'!$X$17)</f>
        <v>42119</v>
      </c>
      <c r="O27" s="29">
        <f t="shared" si="1"/>
        <v>2972678</v>
      </c>
      <c r="P27" s="32">
        <f t="shared" si="2"/>
        <v>-0.02507785792</v>
      </c>
      <c r="Q27" s="19"/>
      <c r="R27" s="19">
        <v>2915.0</v>
      </c>
      <c r="S27" s="19">
        <v>1.88</v>
      </c>
      <c r="T27" s="19">
        <v>1.02</v>
      </c>
      <c r="U27" s="19"/>
      <c r="V27" s="19">
        <v>2927143.0</v>
      </c>
      <c r="W27" s="44">
        <v>0.0923</v>
      </c>
      <c r="X27" s="19"/>
      <c r="Y27" s="19"/>
      <c r="Z27" s="19"/>
      <c r="AA27" s="19"/>
    </row>
    <row r="28" ht="15.75" customHeight="1">
      <c r="A28" s="45">
        <v>101.0</v>
      </c>
      <c r="B28" s="29">
        <f>IF('綠島遊憩區'!$Y$17=0,"",'綠島遊憩區'!$Y$17)</f>
        <v>307575</v>
      </c>
      <c r="C28" s="37">
        <f>IF('東部海岸富岡地質公園及加路蘭休憩區'!$Y$17=0,"",'東部海岸富岡地質公園及加路蘭休憩區'!$Y$17)</f>
        <v>237907</v>
      </c>
      <c r="D28" s="29"/>
      <c r="E28" s="29"/>
      <c r="F28" s="29">
        <f>IF('都歷處本部'!$Y$17=0,"",'都歷處本部'!$Y$17)</f>
        <v>68923</v>
      </c>
      <c r="G28" s="37">
        <f>IF('三仙台遊憩區及周邊地區'!$Y$17=0,"",'三仙台遊憩區及周邊地區'!$Y$17)</f>
        <v>749335</v>
      </c>
      <c r="H28" s="29">
        <f>IF('八仙洞遊憩區'!$Y$17=0,"",'八仙洞遊憩區'!$Y$17)</f>
        <v>109820</v>
      </c>
      <c r="I28" s="29">
        <f>IF('秀姑巒溪遊客中心園區'!$Y$17=0,"",'秀姑巒溪遊客中心園區'!$Y$17)</f>
        <v>342700</v>
      </c>
      <c r="J28" s="29">
        <f>IF('石梯坪遊憩區'!$Y$17=0,"",'石梯坪遊憩區'!$Y$17)</f>
        <v>994284.88</v>
      </c>
      <c r="K28" s="29">
        <f>IF('磯崎海濱遊憩區(113年起停計)'!$Y$17=0,"",'磯崎海濱遊憩區(113年起停計)'!$Y$17)</f>
        <v>9438</v>
      </c>
      <c r="L28" s="29">
        <f>IF('花蓮海洋公園'!$Y$17=0,"",'花蓮海洋公園'!$Y$17)</f>
        <v>488346</v>
      </c>
      <c r="M28" s="29" t="str">
        <f>IF('豐濱鄉親不知子海上古道及周邊地區'!$AC$17=0,"",'豐濱鄉親不知子海上古道及周邊地區'!$AC$17)</f>
        <v/>
      </c>
      <c r="N28" s="29">
        <f>IF('花蓮遊客中心園區'!$Y$17=0,"",'花蓮遊客中心園區'!$Y$17)</f>
        <v>61743</v>
      </c>
      <c r="O28" s="29">
        <f t="shared" si="1"/>
        <v>3370071.88</v>
      </c>
      <c r="P28" s="32">
        <f t="shared" si="2"/>
        <v>0.1336821142</v>
      </c>
      <c r="Q28" s="19"/>
      <c r="R28" s="19">
        <v>2408.0</v>
      </c>
      <c r="S28" s="19">
        <v>1.89</v>
      </c>
      <c r="T28" s="19">
        <v>1.11</v>
      </c>
      <c r="U28" s="19"/>
      <c r="V28" s="19">
        <v>3058458.0</v>
      </c>
      <c r="W28" s="44">
        <v>0.1079</v>
      </c>
      <c r="X28" s="19"/>
      <c r="Y28" s="19"/>
      <c r="Z28" s="19"/>
      <c r="AA28" s="19"/>
    </row>
    <row r="29" ht="15.75" customHeight="1">
      <c r="A29" s="45">
        <v>102.0</v>
      </c>
      <c r="B29" s="29">
        <f>IF('綠島遊憩區'!$Z$17=0,"",'綠島遊憩區'!$Z$17)</f>
        <v>337396</v>
      </c>
      <c r="C29" s="37">
        <f>IF('東部海岸富岡地質公園及加路蘭休憩區'!$Z$17=0,"",'東部海岸富岡地質公園及加路蘭休憩區'!$Z$17)</f>
        <v>240253</v>
      </c>
      <c r="D29" s="29"/>
      <c r="E29" s="29"/>
      <c r="F29" s="29">
        <f>IF('都歷處本部'!$Z$17=0,"",'都歷處本部'!$Z$17)</f>
        <v>8287</v>
      </c>
      <c r="G29" s="37">
        <f>IF('三仙台遊憩區及周邊地區'!$Z$17=0,"",'三仙台遊憩區及周邊地區'!$Z$17)</f>
        <v>715017</v>
      </c>
      <c r="H29" s="29">
        <f>IF('八仙洞遊憩區'!$Z$17=0,"",'八仙洞遊憩區'!$Z$17)</f>
        <v>123962</v>
      </c>
      <c r="I29" s="29">
        <f>IF('秀姑巒溪遊客中心園區'!$Z$17=0,"",'秀姑巒溪遊客中心園區'!$Z$17)</f>
        <v>285602</v>
      </c>
      <c r="J29" s="29">
        <f>IF('石梯坪遊憩區'!$Z$17=0,"",'石梯坪遊憩區'!$Z$17)</f>
        <v>1619248</v>
      </c>
      <c r="K29" s="29">
        <f>IF('磯崎海濱遊憩區(113年起停計)'!$Z$17=0,"",'磯崎海濱遊憩區(113年起停計)'!$Z$17)</f>
        <v>21112.1</v>
      </c>
      <c r="L29" s="29">
        <f>IF('花蓮海洋公園'!$Z$17=0,"",'花蓮海洋公園'!$Z$17)</f>
        <v>535166</v>
      </c>
      <c r="M29" s="29" t="str">
        <f>IF('豐濱鄉親不知子海上古道及周邊地區'!$AC$17=0,"",'豐濱鄉親不知子海上古道及周邊地區'!$AC$17)</f>
        <v/>
      </c>
      <c r="N29" s="29">
        <f>IF('花蓮遊客中心園區'!$Z$17=0,"",'花蓮遊客中心園區'!$Z$17)</f>
        <v>55449</v>
      </c>
      <c r="O29" s="29">
        <f t="shared" si="1"/>
        <v>3941492.1</v>
      </c>
      <c r="P29" s="32">
        <f t="shared" si="2"/>
        <v>0.1695572796</v>
      </c>
      <c r="Q29" s="19"/>
      <c r="R29" s="19">
        <v>2421.0</v>
      </c>
      <c r="S29" s="19">
        <v>1.7</v>
      </c>
      <c r="T29" s="19">
        <v>1.2</v>
      </c>
      <c r="U29" s="19"/>
      <c r="V29" s="19">
        <v>3311008.0</v>
      </c>
      <c r="W29" s="44">
        <v>0.1333</v>
      </c>
      <c r="X29" s="19"/>
      <c r="Y29" s="19"/>
      <c r="Z29" s="19"/>
      <c r="AA29" s="19"/>
    </row>
    <row r="30" ht="15.75" customHeight="1">
      <c r="A30" s="46">
        <v>103.0</v>
      </c>
      <c r="B30" s="29">
        <f>IF('綠島遊憩區'!$AA$17=0,"",'綠島遊憩區'!$AA$17)</f>
        <v>386736</v>
      </c>
      <c r="C30" s="37">
        <f>IF('東部海岸富岡地質公園及加路蘭休憩區'!$AA$17=0,"",'東部海岸富岡地質公園及加路蘭休憩區'!$AA$17)</f>
        <v>288194</v>
      </c>
      <c r="D30" s="29"/>
      <c r="E30" s="29"/>
      <c r="F30" s="29">
        <f>IF('都歷處本部'!$AA$17=0,"",'都歷處本部'!$AA$17)</f>
        <v>137229</v>
      </c>
      <c r="G30" s="37">
        <f>IF('三仙台遊憩區及周邊地區'!$AA$17=0,"",'三仙台遊憩區及周邊地區'!$AA$17)</f>
        <v>913261</v>
      </c>
      <c r="H30" s="29">
        <f>IF('八仙洞遊憩區'!$AA$17=0,"",'八仙洞遊憩區'!$AA$17)</f>
        <v>111035</v>
      </c>
      <c r="I30" s="29">
        <f>IF('秀姑巒溪遊客中心園區'!$AA$17=0,"",'秀姑巒溪遊客中心園區'!$AA$17)</f>
        <v>273141</v>
      </c>
      <c r="J30" s="29">
        <f>IF('石梯坪遊憩區'!$AA$17=0,"",'石梯坪遊憩區'!$AA$17)</f>
        <v>3239168</v>
      </c>
      <c r="K30" s="29">
        <f>IF('磯崎海濱遊憩區(113年起停計)'!$AA$17=0,"",'磯崎海濱遊憩區(113年起停計)'!$AA$17)</f>
        <v>5196</v>
      </c>
      <c r="L30" s="29">
        <f>IF('花蓮海洋公園'!$AA$17=0,"",'花蓮海洋公園'!$AA$17)</f>
        <v>613674</v>
      </c>
      <c r="M30" s="29" t="str">
        <f>IF('豐濱鄉親不知子海上古道及周邊地區'!$AC$17=0,"",'豐濱鄉親不知子海上古道及周邊地區'!$AC$17)</f>
        <v/>
      </c>
      <c r="N30" s="29">
        <f>IF('花蓮遊客中心園區'!$AA$17=0,"",'花蓮遊客中心園區'!$AA$17)</f>
        <v>58327</v>
      </c>
      <c r="O30" s="29">
        <f t="shared" si="1"/>
        <v>6025961</v>
      </c>
      <c r="P30" s="32">
        <f t="shared" si="2"/>
        <v>0.5288527408</v>
      </c>
      <c r="Q30" s="19"/>
      <c r="R30" s="19">
        <v>2248.0</v>
      </c>
      <c r="S30" s="19">
        <v>1.72</v>
      </c>
      <c r="T30" s="19">
        <v>1.26</v>
      </c>
      <c r="U30" s="19">
        <v>1.04</v>
      </c>
      <c r="V30" s="19">
        <v>4869259.0</v>
      </c>
      <c r="W30" s="44">
        <v>0.1333</v>
      </c>
      <c r="X30" s="19"/>
      <c r="Y30" s="19"/>
      <c r="Z30" s="19"/>
      <c r="AA30" s="19"/>
    </row>
    <row r="31" ht="15.75" customHeight="1">
      <c r="A31" s="46">
        <v>104.0</v>
      </c>
      <c r="B31" s="29">
        <f>IF('綠島遊憩區'!$AB$17=0,"",'綠島遊憩區'!$AB$17)</f>
        <v>363045</v>
      </c>
      <c r="C31" s="37">
        <f>IF('東部海岸富岡地質公園及加路蘭休憩區'!$AB$17=0,"",'東部海岸富岡地質公園及加路蘭休憩區'!$AB$17)</f>
        <v>351344</v>
      </c>
      <c r="D31" s="29"/>
      <c r="E31" s="29"/>
      <c r="F31" s="29">
        <f>IF('都歷處本部'!$AB$17=0,"",'都歷處本部'!$AB$17)</f>
        <v>122124</v>
      </c>
      <c r="G31" s="37">
        <f>IF('三仙台遊憩區及周邊地區'!$AB$17=0,"",'三仙台遊憩區及周邊地區'!$AB$17)</f>
        <v>760314</v>
      </c>
      <c r="H31" s="29">
        <f>IF('八仙洞遊憩區'!$AB$17=0,"",'八仙洞遊憩區'!$AB$17)</f>
        <v>110035</v>
      </c>
      <c r="I31" s="29">
        <f>IF('秀姑巒溪遊客中心園區'!$AB$17=0,"",'秀姑巒溪遊客中心園區'!$AB$17)</f>
        <v>300390</v>
      </c>
      <c r="J31" s="29">
        <f>IF('石梯坪遊憩區'!$AB$17=0,"",'石梯坪遊憩區'!$AB$17)</f>
        <v>632564</v>
      </c>
      <c r="K31" s="29">
        <f>IF('磯崎海濱遊憩區(113年起停計)'!$AB$17=0,"",'磯崎海濱遊憩區(113年起停計)'!$AB$17)</f>
        <v>6772</v>
      </c>
      <c r="L31" s="29">
        <f>IF('花蓮海洋公園'!$AB$17=0,"",'花蓮海洋公園'!$AB$17)</f>
        <v>577255</v>
      </c>
      <c r="M31" s="29" t="str">
        <f>IF('豐濱鄉親不知子海上古道及周邊地區'!$AC$17=0,"",'豐濱鄉親不知子海上古道及周邊地區'!$AC$17)</f>
        <v/>
      </c>
      <c r="N31" s="29">
        <f>IF('花蓮遊客中心園區'!$AB$17=0,"",'花蓮遊客中心園區'!$AB$17)</f>
        <v>60904</v>
      </c>
      <c r="O31" s="29">
        <f t="shared" si="1"/>
        <v>3284747</v>
      </c>
      <c r="P31" s="32">
        <f t="shared" si="2"/>
        <v>-0.4549007204</v>
      </c>
      <c r="Q31" s="19">
        <v>29561.0</v>
      </c>
      <c r="R31" s="19">
        <v>2512.0</v>
      </c>
      <c r="S31" s="19">
        <v>2.32</v>
      </c>
      <c r="T31" s="19">
        <v>1.23</v>
      </c>
      <c r="U31" s="19">
        <v>1.01</v>
      </c>
      <c r="V31" s="19">
        <v>2754795.0</v>
      </c>
      <c r="W31" s="44">
        <v>0.1526</v>
      </c>
      <c r="X31" s="19"/>
      <c r="Y31" s="19"/>
      <c r="Z31" s="19"/>
      <c r="AA31" s="19"/>
    </row>
    <row r="32" ht="15.75" customHeight="1">
      <c r="A32" s="46">
        <v>105.0</v>
      </c>
      <c r="B32" s="29">
        <f>IF('綠島遊憩區'!$AC$17=0,"",'綠島遊憩區'!$AC$17)</f>
        <v>336869</v>
      </c>
      <c r="C32" s="37">
        <f>IF('東部海岸富岡地質公園及加路蘭休憩區'!$AC$17=0,"",'東部海岸富岡地質公園及加路蘭休憩區'!$AC$17)</f>
        <v>417276</v>
      </c>
      <c r="D32" s="29">
        <f>IF('水往上流遊憩區(113年起停計)'!$AC$17=0,"",'水往上流遊憩區(113年起停計)'!$AC$17)</f>
        <v>917453</v>
      </c>
      <c r="E32" s="29"/>
      <c r="F32" s="29">
        <f>IF('都歷處本部'!$AC$17=0,"",'都歷處本部'!$AC$17)</f>
        <v>102750</v>
      </c>
      <c r="G32" s="37">
        <f>IF('三仙台遊憩區及周邊地區'!$AC$17=0,"",'三仙台遊憩區及周邊地區'!$AC$17)</f>
        <v>681357</v>
      </c>
      <c r="H32" s="29">
        <f>IF('八仙洞遊憩區'!$AC$17=0,"",'八仙洞遊憩區'!$AC$17)</f>
        <v>60456</v>
      </c>
      <c r="I32" s="29">
        <f>IF('秀姑巒溪遊客中心園區'!$AC$17=0,"",'秀姑巒溪遊客中心園區'!$AC$17)</f>
        <v>241501</v>
      </c>
      <c r="J32" s="29">
        <f>IF('石梯坪遊憩區'!$AC$17=0,"",'石梯坪遊憩區'!$AC$17)</f>
        <v>519630</v>
      </c>
      <c r="K32" s="29">
        <f>IF('磯崎海濱遊憩區(113年起停計)'!$AC$17=0,"",'磯崎海濱遊憩區(113年起停計)'!$AC$17)</f>
        <v>97852</v>
      </c>
      <c r="L32" s="29">
        <f>IF('花蓮海洋公園'!$AC$17=0,"",'花蓮海洋公園'!$AC$17)</f>
        <v>538791</v>
      </c>
      <c r="M32" s="29" t="str">
        <f>IF('豐濱鄉親不知子海上古道及周邊地區'!$AC$17=0,"",'豐濱鄉親不知子海上古道及周邊地區'!$AC$17)</f>
        <v/>
      </c>
      <c r="N32" s="29">
        <f>IF('花蓮遊客中心園區'!$AC$17=0,"",'花蓮遊客中心園區'!$AC$17)</f>
        <v>71255</v>
      </c>
      <c r="O32" s="29">
        <f t="shared" ref="O32:O47" si="3">IF(SUM(B32:N32)=0,"",SUM(B32:N32))</f>
        <v>3985190</v>
      </c>
      <c r="P32" s="32">
        <f t="shared" si="2"/>
        <v>0.2132410807</v>
      </c>
      <c r="Q32" s="19"/>
      <c r="R32" s="19"/>
      <c r="S32" s="19"/>
      <c r="T32" s="19"/>
      <c r="U32" s="19"/>
      <c r="V32" s="19"/>
      <c r="W32" s="44">
        <v>0.135</v>
      </c>
      <c r="X32" s="19"/>
      <c r="Y32" s="19"/>
      <c r="Z32" s="19"/>
      <c r="AA32" s="19"/>
    </row>
    <row r="33" ht="15.75" customHeight="1">
      <c r="A33" s="46">
        <v>106.0</v>
      </c>
      <c r="B33" s="29">
        <f>IF('綠島遊憩區'!$AD$17=0,"",'綠島遊憩區'!$AD$17)</f>
        <v>345622</v>
      </c>
      <c r="C33" s="37">
        <f>IF('東部海岸富岡地質公園及加路蘭休憩區'!$AD$17=0,"",'東部海岸富岡地質公園及加路蘭休憩區'!$AD$17)</f>
        <v>330796</v>
      </c>
      <c r="D33" s="29">
        <f>IF('水往上流遊憩區(113年起停計)'!$AD$17=0,"",'水往上流遊憩區(113年起停計)'!$AD$17)</f>
        <v>544049</v>
      </c>
      <c r="E33" s="29"/>
      <c r="F33" s="29">
        <f>IF('都歷處本部'!$AD$17=0,"",'都歷處本部'!$AD$17)</f>
        <v>115714</v>
      </c>
      <c r="G33" s="37">
        <f>IF('三仙台遊憩區及周邊地區'!$AD$17=0,"",'三仙台遊憩區及周邊地區'!$AD$17)</f>
        <v>572564</v>
      </c>
      <c r="H33" s="29">
        <f>IF('八仙洞遊憩區'!$AD$17=0,"",'八仙洞遊憩區'!$AD$17)</f>
        <v>96501</v>
      </c>
      <c r="I33" s="29">
        <f>IF('秀姑巒溪遊客中心園區'!$AD$17=0,"",'秀姑巒溪遊客中心園區'!$AD$17)</f>
        <v>229975</v>
      </c>
      <c r="J33" s="29">
        <f>IF('石梯坪遊憩區'!$AD$17=0,"",'石梯坪遊憩區'!$AD$17)</f>
        <v>339088</v>
      </c>
      <c r="K33" s="29">
        <f>IF('磯崎海濱遊憩區(113年起停計)'!$AD$17=0,"",'磯崎海濱遊憩區(113年起停計)'!$AD$17)</f>
        <v>63691</v>
      </c>
      <c r="L33" s="29">
        <f>IF('花蓮海洋公園'!$AD$17=0,"",'花蓮海洋公園'!$AD$17)</f>
        <v>496365</v>
      </c>
      <c r="M33" s="29" t="str">
        <f>IF('豐濱鄉親不知子海上古道及周邊地區'!$AD$17=0,"",'豐濱鄉親不知子海上古道及周邊地區'!$AD$17)</f>
        <v/>
      </c>
      <c r="N33" s="29">
        <f>IF('花蓮遊客中心園區'!$AD$17=0,"",'花蓮遊客中心園區'!$AD$17)</f>
        <v>56911</v>
      </c>
      <c r="O33" s="29">
        <f t="shared" si="3"/>
        <v>3191276</v>
      </c>
      <c r="P33" s="32">
        <f t="shared" si="2"/>
        <v>-0.1992160976</v>
      </c>
      <c r="Q33" s="19">
        <v>21780.0</v>
      </c>
      <c r="R33" s="19">
        <v>1568.0</v>
      </c>
      <c r="S33" s="19">
        <v>1.56</v>
      </c>
      <c r="T33" s="19"/>
      <c r="U33" s="19"/>
      <c r="V33" s="19"/>
      <c r="W33" s="44"/>
      <c r="X33" s="19"/>
      <c r="Y33" s="19"/>
      <c r="Z33" s="19"/>
      <c r="AA33" s="19"/>
    </row>
    <row r="34" ht="15.75" customHeight="1">
      <c r="A34" s="46">
        <v>107.0</v>
      </c>
      <c r="B34" s="29">
        <f>IF('綠島遊憩區'!$AE$17=0,"",'綠島遊憩區'!$AE$17)</f>
        <v>339619</v>
      </c>
      <c r="C34" s="37">
        <f>IF('東部海岸富岡地質公園及加路蘭休憩區'!$AE$17=0,"",'東部海岸富岡地質公園及加路蘭休憩區'!$AE$17)</f>
        <v>484603.84</v>
      </c>
      <c r="D34" s="29">
        <f>IF('水往上流遊憩區(113年起停計)'!$AE$17=0,"",'水往上流遊憩區(113年起停計)'!$AE$17)</f>
        <v>479039.4</v>
      </c>
      <c r="E34" s="29"/>
      <c r="F34" s="29">
        <f>IF('都歷處本部'!$AE$17=0,"",'都歷處本部'!$AE$17)</f>
        <v>75740</v>
      </c>
      <c r="G34" s="37">
        <f>IF('三仙台遊憩區及周邊地區'!$AE$17=0,"",'三仙台遊憩區及周邊地區'!$AE$17)</f>
        <v>519119.59</v>
      </c>
      <c r="H34" s="29">
        <f>IF('八仙洞遊憩區'!$AE$17=0,"",'八仙洞遊憩區'!$AE$17)</f>
        <v>97530.87</v>
      </c>
      <c r="I34" s="29">
        <f>IF('秀姑巒溪遊客中心園區'!$AE$17=0,"",'秀姑巒溪遊客中心園區'!$AE$17)</f>
        <v>204578.4</v>
      </c>
      <c r="J34" s="29">
        <f>IF('石梯坪遊憩區'!$AE$17=0,"",'石梯坪遊憩區'!$AE$17)</f>
        <v>291964.87</v>
      </c>
      <c r="K34" s="29">
        <f>IF('磯崎海濱遊憩區(113年起停計)'!$AE$17=0,"",'磯崎海濱遊憩區(113年起停計)'!$AE$17)</f>
        <v>79874</v>
      </c>
      <c r="L34" s="29">
        <f>IF('花蓮海洋公園'!$AE$17=0,"",'花蓮海洋公園'!$AE$17)</f>
        <v>434543</v>
      </c>
      <c r="M34" s="29" t="str">
        <f>IF('豐濱鄉親不知子海上古道及周邊地區'!$AE$17=0,"",'豐濱鄉親不知子海上古道及周邊地區'!$AE$17)</f>
        <v/>
      </c>
      <c r="N34" s="29">
        <f>IF('花蓮遊客中心園區'!$AE$17=0,"",'花蓮遊客中心園區'!$AE$17)</f>
        <v>49081</v>
      </c>
      <c r="O34" s="29">
        <f t="shared" si="3"/>
        <v>3055693.97</v>
      </c>
      <c r="P34" s="32">
        <f t="shared" si="2"/>
        <v>-0.04248520968</v>
      </c>
      <c r="Q34" s="19"/>
      <c r="R34" s="19"/>
      <c r="S34" s="19"/>
      <c r="T34" s="19"/>
      <c r="U34" s="19"/>
      <c r="V34" s="19"/>
      <c r="W34" s="44"/>
      <c r="X34" s="19"/>
      <c r="Y34" s="19"/>
      <c r="Z34" s="19"/>
      <c r="AA34" s="19"/>
    </row>
    <row r="35" ht="15.75" customHeight="1">
      <c r="A35" s="46">
        <v>108.0</v>
      </c>
      <c r="B35" s="29">
        <f>IF('綠島遊憩區'!$AF$17=0,"",'綠島遊憩區'!$AF$17)</f>
        <v>347465</v>
      </c>
      <c r="C35" s="37">
        <f>IF('東部海岸富岡地質公園及加路蘭休憩區'!$AF$17=0,"",'東部海岸富岡地質公園及加路蘭休憩區'!$AF$17)</f>
        <v>664999.2</v>
      </c>
      <c r="D35" s="29">
        <f>IF('水往上流遊憩區(113年起停計)'!$AF$17=0,"",'水往上流遊憩區(113年起停計)'!$AF$17)</f>
        <v>532220.8</v>
      </c>
      <c r="E35" s="29"/>
      <c r="F35" s="29">
        <f>IF('都歷處本部'!$AF$17=0,"",'都歷處本部'!$AF$17)</f>
        <v>54144</v>
      </c>
      <c r="G35" s="37">
        <f>IF('三仙台遊憩區及周邊地區'!$AF$17=0,"",'三仙台遊憩區及周邊地區'!$AF$17)</f>
        <v>572019.66</v>
      </c>
      <c r="H35" s="29">
        <f>IF('八仙洞遊憩區'!$AF$17=0,"",'八仙洞遊憩區'!$AF$17)</f>
        <v>130445.52</v>
      </c>
      <c r="I35" s="29">
        <f>IF('秀姑巒溪遊客中心園區'!$AF$17=0,"",'秀姑巒溪遊客中心園區'!$AF$17)</f>
        <v>199435</v>
      </c>
      <c r="J35" s="29">
        <f>IF('石梯坪遊憩區'!$AF$17=0,"",'石梯坪遊憩區'!$AF$17)</f>
        <v>289220</v>
      </c>
      <c r="K35" s="29">
        <f>IF('磯崎海濱遊憩區(113年起停計)'!$AF$17=0,"",'磯崎海濱遊憩區(113年起停計)'!$AF$17)</f>
        <v>92547</v>
      </c>
      <c r="L35" s="29">
        <f>IF('花蓮海洋公園'!$AF$17=0,"",'花蓮海洋公園'!$AF$17)</f>
        <v>517936</v>
      </c>
      <c r="M35" s="29" t="str">
        <f>IF('豐濱鄉親不知子海上古道及周邊地區'!$AF$17=0,"",'豐濱鄉親不知子海上古道及周邊地區'!$AF$17)</f>
        <v/>
      </c>
      <c r="N35" s="29">
        <f>IF('花蓮遊客中心園區'!$AF$17=0,"",'花蓮遊客中心園區'!$AF$17)</f>
        <v>47997</v>
      </c>
      <c r="O35" s="29">
        <f t="shared" si="3"/>
        <v>3448429.18</v>
      </c>
      <c r="P35" s="32">
        <f t="shared" si="2"/>
        <v>0.1285257012</v>
      </c>
      <c r="Q35" s="19"/>
      <c r="R35" s="19"/>
      <c r="S35" s="19"/>
      <c r="T35" s="19"/>
      <c r="U35" s="19"/>
      <c r="V35" s="19"/>
      <c r="W35" s="44"/>
      <c r="X35" s="19"/>
      <c r="Y35" s="19"/>
      <c r="Z35" s="19"/>
      <c r="AA35" s="19"/>
    </row>
    <row r="36" ht="15.75" customHeight="1">
      <c r="A36" s="46">
        <v>109.0</v>
      </c>
      <c r="B36" s="29">
        <f>IF('綠島遊憩區'!$AG$17=0,"",'綠島遊憩區'!$AG$17)</f>
        <v>355036</v>
      </c>
      <c r="C36" s="37">
        <f>IF('東部海岸富岡地質公園及加路蘭休憩區'!$AG$17=0,"",'東部海岸富岡地質公園及加路蘭休憩區'!$AG$17)</f>
        <v>770293</v>
      </c>
      <c r="D36" s="29">
        <f>IF('水往上流遊憩區(113年起停計)'!$AG$17=0,"",'水往上流遊憩區(113年起停計)'!$AG$17)</f>
        <v>423660</v>
      </c>
      <c r="E36" s="29"/>
      <c r="F36" s="29">
        <f>IF('都歷處本部'!$AG$17=0,"",'都歷處本部'!$AG$17)</f>
        <v>585555</v>
      </c>
      <c r="G36" s="37">
        <f>IF('三仙台遊憩區及周邊地區'!$AG$17=0,"",'三仙台遊憩區及周邊地區'!$AG$17)</f>
        <v>612926</v>
      </c>
      <c r="H36" s="29">
        <f>IF('八仙洞遊憩區'!$AG$17=0,"",'八仙洞遊憩區'!$AG$17)</f>
        <v>124265</v>
      </c>
      <c r="I36" s="29">
        <f>IF('秀姑巒溪遊客中心園區'!$AG$17=0,"",'秀姑巒溪遊客中心園區'!$AG$17)</f>
        <v>220129</v>
      </c>
      <c r="J36" s="29">
        <f>IF('石梯坪遊憩區'!$AG$17=0,"",'石梯坪遊憩區'!$AG$17)</f>
        <v>225923</v>
      </c>
      <c r="K36" s="29">
        <f>IF('磯崎海濱遊憩區(113年起停計)'!$AG$17=0,"",'磯崎海濱遊憩區(113年起停計)'!$AG$17)</f>
        <v>3673</v>
      </c>
      <c r="L36" s="29">
        <f>IF('花蓮海洋公園'!$AG$17=0,"",'花蓮海洋公園'!$AG$17)</f>
        <v>752465</v>
      </c>
      <c r="M36" s="37">
        <f>IF('豐濱鄉親不知子海上古道及周邊地區'!$AG$17=0,"",'豐濱鄉親不知子海上古道及周邊地區'!$AG$17)</f>
        <v>468086</v>
      </c>
      <c r="N36" s="29">
        <f>IF('花蓮遊客中心園區'!$AG$17=0,"",'花蓮遊客中心園區'!$AG$17)</f>
        <v>70786</v>
      </c>
      <c r="O36" s="29">
        <f t="shared" si="3"/>
        <v>4612797</v>
      </c>
      <c r="P36" s="32">
        <f t="shared" si="2"/>
        <v>0.3376516551</v>
      </c>
      <c r="Q36" s="19"/>
      <c r="R36" s="19"/>
      <c r="S36" s="19"/>
      <c r="T36" s="19"/>
      <c r="U36" s="19"/>
      <c r="V36" s="19"/>
      <c r="W36" s="44"/>
      <c r="X36" s="19"/>
      <c r="Y36" s="19"/>
      <c r="Z36" s="19"/>
      <c r="AA36" s="19"/>
    </row>
    <row r="37" ht="15.75" customHeight="1">
      <c r="A37" s="46">
        <v>110.0</v>
      </c>
      <c r="B37" s="29">
        <f>IF('綠島遊憩區'!$AH$17=0,"",'綠島遊憩區'!$AH$17)</f>
        <v>155378</v>
      </c>
      <c r="C37" s="37">
        <f>IF('東部海岸富岡地質公園及加路蘭休憩區'!$AH$17=0,"",'東部海岸富岡地質公園及加路蘭休憩區'!$AH$17)</f>
        <v>608969</v>
      </c>
      <c r="D37" s="29">
        <f>IF('水往上流遊憩區(113年起停計)'!$AH$17=0,"",'水往上流遊憩區(113年起停計)'!$AH$17)</f>
        <v>220589</v>
      </c>
      <c r="E37" s="29"/>
      <c r="F37" s="29">
        <f>IF('都歷處本部'!$AH$17=0,"",'都歷處本部'!$AH$17)</f>
        <v>292959</v>
      </c>
      <c r="G37" s="37">
        <f>IF('三仙台遊憩區及周邊地區'!$AH$17=0,"",'三仙台遊憩區及周邊地區'!$AH$17)</f>
        <v>304078</v>
      </c>
      <c r="H37" s="29">
        <f>IF('八仙洞遊憩區'!$AH$17=0,"",'八仙洞遊憩區'!$AH$17)</f>
        <v>55411</v>
      </c>
      <c r="I37" s="29">
        <f>IF('秀姑巒溪遊客中心園區'!$AH$17=0,"",'秀姑巒溪遊客中心園區'!$AH$17)</f>
        <v>115473</v>
      </c>
      <c r="J37" s="29">
        <f>IF('石梯坪遊憩區'!$AH$17=0,"",'石梯坪遊憩區'!$AH$17)</f>
        <v>130905</v>
      </c>
      <c r="K37" s="29" t="str">
        <f>IF('磯崎海濱遊憩區(113年起停計)'!$AH$17=0,"",'磯崎海濱遊憩區(113年起停計)'!$AH$17)</f>
        <v/>
      </c>
      <c r="L37" s="29">
        <f>IF('花蓮海洋公園'!$AH$17=0,"",'花蓮海洋公園'!$AH$17)</f>
        <v>411992</v>
      </c>
      <c r="M37" s="37">
        <f>IF('豐濱鄉親不知子海上古道及周邊地區'!$AH$17=0,"",'豐濱鄉親不知子海上古道及周邊地區'!$AH$17)</f>
        <v>209028</v>
      </c>
      <c r="N37" s="29">
        <f>IF('花蓮遊客中心園區'!$AH$17=0,"",'花蓮遊客中心園區'!$AH$17)</f>
        <v>70164</v>
      </c>
      <c r="O37" s="29">
        <f t="shared" si="3"/>
        <v>2574946</v>
      </c>
      <c r="P37" s="32">
        <f t="shared" si="2"/>
        <v>-0.4417820685</v>
      </c>
      <c r="Q37" s="19"/>
      <c r="R37" s="19"/>
      <c r="S37" s="19"/>
      <c r="T37" s="19"/>
      <c r="U37" s="19"/>
      <c r="V37" s="19"/>
      <c r="W37" s="44"/>
      <c r="X37" s="19"/>
      <c r="Y37" s="19"/>
      <c r="Z37" s="19"/>
      <c r="AA37" s="19"/>
    </row>
    <row r="38" ht="15.75" customHeight="1">
      <c r="A38" s="46">
        <v>111.0</v>
      </c>
      <c r="B38" s="29">
        <f>IF('綠島遊憩區'!$AI$17=0,"",'綠島遊憩區'!$AI$17)</f>
        <v>319231</v>
      </c>
      <c r="C38" s="37">
        <f>IF('東部海岸富岡地質公園及加路蘭休憩區'!$AI$17=0,"",'東部海岸富岡地質公園及加路蘭休憩區'!$AI$17)</f>
        <v>616149</v>
      </c>
      <c r="D38" s="29">
        <f>IF('水往上流遊憩區(113年起停計)'!$AI$17=0,"",'水往上流遊憩區(113年起停計)'!$AI$17)</f>
        <v>222891</v>
      </c>
      <c r="E38" s="29"/>
      <c r="F38" s="29">
        <f>IF('都歷處本部'!$AI$17=0,"",'都歷處本部'!$AI$17)</f>
        <v>254369</v>
      </c>
      <c r="G38" s="37">
        <f>IF('三仙台遊憩區及周邊地區'!$AI$17=0,"",'三仙台遊憩區及周邊地區'!$AI$17)</f>
        <v>399279</v>
      </c>
      <c r="H38" s="29">
        <f>IF('八仙洞遊憩區'!$AI$17=0,"",'八仙洞遊憩區'!$AI$17)</f>
        <v>55337</v>
      </c>
      <c r="I38" s="29">
        <f>IF('秀姑巒溪遊客中心園區'!$AI$17=0,"",'秀姑巒溪遊客中心園區'!$AI$17)</f>
        <v>159338</v>
      </c>
      <c r="J38" s="29">
        <f>IF('石梯坪遊憩區'!$AI$17=0,"",'石梯坪遊憩區'!$AI$17)</f>
        <v>122083</v>
      </c>
      <c r="K38" s="29" t="str">
        <f>IF('磯崎海濱遊憩區(113年起停計)'!$AI$17=0,"",'磯崎海濱遊憩區(113年起停計)'!$AI$17)</f>
        <v/>
      </c>
      <c r="L38" s="29">
        <f>IF('花蓮海洋公園'!$AI$17=0,"",'花蓮海洋公園'!$AI$17)</f>
        <v>760096</v>
      </c>
      <c r="M38" s="37">
        <f>IF('豐濱鄉親不知子海上古道及周邊地區'!$AI$17=0,"",'豐濱鄉親不知子海上古道及周邊地區'!$AI$17)</f>
        <v>172688</v>
      </c>
      <c r="N38" s="29">
        <f>IF('花蓮遊客中心園區'!$AI$17=0,"",'花蓮遊客中心園區'!$AI$17)</f>
        <v>61168</v>
      </c>
      <c r="O38" s="29">
        <f t="shared" si="3"/>
        <v>3142629</v>
      </c>
      <c r="P38" s="32">
        <f t="shared" si="2"/>
        <v>0.2204640408</v>
      </c>
      <c r="Q38" s="19"/>
      <c r="R38" s="19"/>
      <c r="S38" s="19"/>
      <c r="T38" s="19"/>
      <c r="U38" s="19"/>
      <c r="V38" s="19"/>
      <c r="W38" s="44"/>
      <c r="X38" s="19"/>
      <c r="Y38" s="19"/>
      <c r="Z38" s="19"/>
      <c r="AA38" s="19"/>
    </row>
    <row r="39" ht="15.75" customHeight="1">
      <c r="A39" s="46">
        <v>112.0</v>
      </c>
      <c r="B39" s="29">
        <f>IF('綠島遊憩區'!$AJ$17=0,"",'綠島遊憩區'!$AJ$17)</f>
        <v>304804</v>
      </c>
      <c r="C39" s="37">
        <f>IF('東部海岸富岡地質公園及加路蘭休憩區'!$AJ$17=0,"",'東部海岸富岡地質公園及加路蘭休憩區'!$AJ$17)</f>
        <v>609595</v>
      </c>
      <c r="D39" s="29">
        <f>IF('水往上流遊憩區(113年起停計)'!$AJ$17=0,"",'水往上流遊憩區(113年起停計)'!$AJ$17)</f>
        <v>156926</v>
      </c>
      <c r="E39" s="29"/>
      <c r="F39" s="29">
        <f>IF('都歷處本部'!$AJ$17=0,"",'都歷處本部'!$AJ$17)</f>
        <v>273955</v>
      </c>
      <c r="G39" s="37">
        <f>IF('三仙台遊憩區及周邊地區'!$AJ$17=0,"",'三仙台遊憩區及周邊地區'!$AJ$17)</f>
        <v>384525</v>
      </c>
      <c r="H39" s="29">
        <f>IF('八仙洞遊憩區'!$AJ$17=0,"",'八仙洞遊憩區'!$AJ$17)</f>
        <v>61989</v>
      </c>
      <c r="I39" s="29">
        <f>IF('秀姑巒溪遊客中心園區'!$AJ$17=0,"",'秀姑巒溪遊客中心園區'!$AJ$17)</f>
        <v>148386</v>
      </c>
      <c r="J39" s="29">
        <f>IF('石梯坪遊憩區'!$AJ$17=0,"",'石梯坪遊憩區'!$AJ$17)</f>
        <v>200137</v>
      </c>
      <c r="K39" s="29" t="str">
        <f>IF('磯崎海濱遊憩區(113年起停計)'!$AJ$17=0,"",'磯崎海濱遊憩區(113年起停計)'!$AJ$17)</f>
        <v/>
      </c>
      <c r="L39" s="29">
        <f>IF('花蓮海洋公園'!$AJ$17=0,"",'花蓮海洋公園'!$AJ$17)</f>
        <v>715942</v>
      </c>
      <c r="M39" s="37">
        <f>IF('豐濱鄉親不知子海上古道及周邊地區'!$AJ$17=0,"",'豐濱鄉親不知子海上古道及周邊地區'!$AJ$17)</f>
        <v>142517</v>
      </c>
      <c r="N39" s="29">
        <f>IF('花蓮遊客中心園區'!$AJ$17=0,"",'花蓮遊客中心園區'!$AJ$17)</f>
        <v>70164</v>
      </c>
      <c r="O39" s="29">
        <f t="shared" si="3"/>
        <v>3068940</v>
      </c>
      <c r="P39" s="32">
        <f t="shared" si="2"/>
        <v>-0.02344820213</v>
      </c>
      <c r="Q39" s="19"/>
      <c r="R39" s="19"/>
      <c r="S39" s="19"/>
      <c r="T39" s="19"/>
      <c r="U39" s="19"/>
      <c r="V39" s="19"/>
      <c r="W39" s="44"/>
      <c r="X39" s="19"/>
      <c r="Y39" s="19"/>
      <c r="Z39" s="19"/>
      <c r="AA39" s="19"/>
    </row>
    <row r="40" ht="15.75" customHeight="1">
      <c r="A40" s="46">
        <v>113.0</v>
      </c>
      <c r="B40" s="29">
        <f>IF('綠島遊憩區'!$AK$17=0,"",'綠島遊憩區'!$AK$17)</f>
        <v>253026</v>
      </c>
      <c r="C40" s="29">
        <f>IF('東部海岸富岡地質公園及加路蘭休憩區'!$AK$17=0,"",'東部海岸富岡地質公園及加路蘭休憩區'!$AK$17)</f>
        <v>2367298</v>
      </c>
      <c r="D40" s="29" t="str">
        <f>IF('水往上流遊憩區(113年起停計)'!$AK$17=0,"",'水往上流遊憩區(113年起停計)'!$AK$17)</f>
        <v/>
      </c>
      <c r="E40" s="29">
        <f>IF('都蘭遊憩區及周邊地區'!$AK$17=0,"",'都蘭遊憩區及周邊地區'!$AK$17)</f>
        <v>1707140</v>
      </c>
      <c r="F40" s="29">
        <f>IF('都歷處本部'!$AK$17=0,"",'都歷處本部'!$AK$17)</f>
        <v>194850</v>
      </c>
      <c r="G40" s="29">
        <f>IF('三仙台遊憩區及周邊地區'!$AK$17=0,"",'三仙台遊憩區及周邊地區'!$AK$17)</f>
        <v>1148229</v>
      </c>
      <c r="H40" s="29">
        <f>IF('八仙洞遊憩區'!$AK$17=0,"",'八仙洞遊憩區'!$AK$17)</f>
        <v>181378</v>
      </c>
      <c r="I40" s="29">
        <f>IF('秀姑巒溪遊客中心園區'!$AK$17=0,"",'秀姑巒溪遊客中心園區'!$AK$17)</f>
        <v>203552</v>
      </c>
      <c r="J40" s="29">
        <f>IF('石梯坪遊憩區'!$AK$17=0,"",'石梯坪遊憩區'!$AK$17)</f>
        <v>308076</v>
      </c>
      <c r="K40" s="29" t="str">
        <f>IF('磯崎海濱遊憩區(113年起停計)'!$AK$17=0,"",'磯崎海濱遊憩區(113年起停計)'!$AK$17)</f>
        <v/>
      </c>
      <c r="L40" s="29">
        <f>IF('花蓮海洋公園'!$AK$17=0,"",'花蓮海洋公園'!$AK$17)</f>
        <v>432011</v>
      </c>
      <c r="M40" s="29">
        <f>IF('豐濱鄉親不知子海上古道及周邊地區'!$AK$17=0,"",'豐濱鄉親不知子海上古道及周邊地區'!$AK$17)</f>
        <v>70887</v>
      </c>
      <c r="N40" s="29">
        <f>IF('花蓮遊客中心園區'!$AK$17=0,"",'花蓮遊客中心園區'!$AK$17)</f>
        <v>7561</v>
      </c>
      <c r="O40" s="29">
        <f t="shared" si="3"/>
        <v>6874008</v>
      </c>
      <c r="P40" s="32">
        <f t="shared" si="2"/>
        <v>1.239863927</v>
      </c>
      <c r="Q40" s="19"/>
      <c r="R40" s="19"/>
      <c r="S40" s="19"/>
      <c r="T40" s="19"/>
      <c r="U40" s="19"/>
      <c r="V40" s="19"/>
      <c r="W40" s="44"/>
      <c r="X40" s="19"/>
      <c r="Y40" s="19"/>
      <c r="Z40" s="19"/>
      <c r="AA40" s="19"/>
    </row>
    <row r="41" ht="15.75" customHeight="1">
      <c r="A41" s="46">
        <v>114.0</v>
      </c>
      <c r="B41" s="29">
        <f>IF('綠島遊憩區'!$AL$17=0,"",'綠島遊憩區'!$AL$17)</f>
        <v>245447</v>
      </c>
      <c r="C41" s="29">
        <f>IF('東部海岸富岡地質公園及加路蘭休憩區'!$AL$17=0,"",'東部海岸富岡地質公園及加路蘭休憩區'!$AL$17)</f>
        <v>2409438</v>
      </c>
      <c r="D41" s="29" t="str">
        <f>IF('水往上流遊憩區(113年起停計)'!$AL$17=0,"",'水往上流遊憩區(113年起停計)'!$AL$17)</f>
        <v/>
      </c>
      <c r="E41" s="29">
        <f>IF('都蘭遊憩區及周邊地區'!$AL$17=0,"",'都蘭遊憩區及周邊地區'!$AL$17)</f>
        <v>1808375</v>
      </c>
      <c r="F41" s="29">
        <f>IF('都歷處本部'!$AL$17=0,"",'都歷處本部'!$AL$17)</f>
        <v>196861</v>
      </c>
      <c r="G41" s="29">
        <f>IF('三仙台遊憩區及周邊地區'!$AL$17=0,"",'三仙台遊憩區及周邊地區'!$AL$17)</f>
        <v>1238905</v>
      </c>
      <c r="H41" s="29">
        <f>IF('八仙洞遊憩區'!$AL$17=0,"",'八仙洞遊憩區'!$AL$17)</f>
        <v>189130</v>
      </c>
      <c r="I41" s="29">
        <f>IF('秀姑巒溪遊客中心園區'!$AL$17=0,"",'秀姑巒溪遊客中心園區'!$AL$17)</f>
        <v>236784</v>
      </c>
      <c r="J41" s="29">
        <f>IF('石梯坪遊憩區'!$AL$17=0,"",'石梯坪遊憩區'!$AL$17)</f>
        <v>358301</v>
      </c>
      <c r="K41" s="29" t="str">
        <f>IF('磯崎海濱遊憩區(113年起停計)'!$AL$17=0,"",'磯崎海濱遊憩區(113年起停計)'!$AL$17)</f>
        <v/>
      </c>
      <c r="L41" s="29">
        <f>IF('花蓮海洋公園'!$AL$17=0,"",'花蓮海洋公園'!$AL$17)</f>
        <v>448592</v>
      </c>
      <c r="M41" s="29">
        <f>IF('豐濱鄉親不知子海上古道及周邊地區'!$AL$17=0,"",'豐濱鄉親不知子海上古道及周邊地區'!$AL$17)</f>
        <v>134031</v>
      </c>
      <c r="N41" s="29">
        <f>IF('花蓮遊客中心園區'!$AL$17=0,"",'花蓮遊客中心園區'!$AL$17)</f>
        <v>9785</v>
      </c>
      <c r="O41" s="29">
        <f t="shared" si="3"/>
        <v>7275649</v>
      </c>
      <c r="P41" s="32">
        <f t="shared" si="2"/>
        <v>0.05842893986</v>
      </c>
      <c r="Q41" s="19"/>
      <c r="R41" s="19"/>
      <c r="S41" s="19"/>
      <c r="T41" s="19"/>
      <c r="U41" s="19"/>
      <c r="V41" s="19"/>
      <c r="W41" s="44"/>
      <c r="X41" s="19"/>
      <c r="Y41" s="19"/>
      <c r="Z41" s="19"/>
      <c r="AA41" s="19"/>
    </row>
    <row r="42" ht="15.75" customHeight="1">
      <c r="A42" s="46">
        <v>115.0</v>
      </c>
      <c r="B42" s="29">
        <f>IF('綠島遊憩區'!$AM$17=0,"",'綠島遊憩區'!$AM$17)</f>
        <v>109063</v>
      </c>
      <c r="C42" s="29">
        <f>IF('東部海岸富岡地質公園及加路蘭休憩區'!$AM$17=0,"",'東部海岸富岡地質公園及加路蘭休憩區'!$AM$17)</f>
        <v>288773</v>
      </c>
      <c r="D42" s="29" t="str">
        <f>IF('水往上流遊憩區(113年起停計)'!$AM$17=0,"",'水往上流遊憩區(113年起停計)'!$AM$17)</f>
        <v/>
      </c>
      <c r="E42" s="29">
        <f>IF('都蘭遊憩區及周邊地區'!$AM$17=0,"",'都蘭遊憩區及周邊地區'!$AM$17)</f>
        <v>604821</v>
      </c>
      <c r="F42" s="29">
        <f>IF('都歷處本部'!$AM$17=0,"",'都歷處本部'!$AM$17)</f>
        <v>99968</v>
      </c>
      <c r="G42" s="29">
        <f>IF('三仙台遊憩區及周邊地區'!$AM$17=0,"",'三仙台遊憩區及周邊地區'!$AM$17)</f>
        <v>411337</v>
      </c>
      <c r="H42" s="29">
        <f>IF('八仙洞遊憩區'!$AM$17=0,"",'八仙洞遊憩區'!$AM$17)</f>
        <v>64890</v>
      </c>
      <c r="I42" s="29">
        <f>IF('秀姑巒溪遊客中心園區'!$AM$17=0,"",'秀姑巒溪遊客中心園區'!$AM$17)</f>
        <v>121645</v>
      </c>
      <c r="J42" s="29">
        <f>IF('石梯坪遊憩區'!$AM$17=0,"",'石梯坪遊憩區'!$AM$17)</f>
        <v>104969</v>
      </c>
      <c r="K42" s="29" t="str">
        <f>IF('磯崎海濱遊憩區(113年起停計)'!$AM$17=0,"",'磯崎海濱遊憩區(113年起停計)'!$AM$17)</f>
        <v/>
      </c>
      <c r="L42" s="29">
        <f>IF('花蓮海洋公園'!$AM$17=0,"",'花蓮海洋公園'!$AM$17)</f>
        <v>204823</v>
      </c>
      <c r="M42" s="29">
        <f>IF('豐濱鄉親不知子海上古道及周邊地區'!$AM$17=0,"",'豐濱鄉親不知子海上古道及周邊地區'!$AM$17)</f>
        <v>67134</v>
      </c>
      <c r="N42" s="29">
        <f>IF('花蓮遊客中心園區'!$AM$17=0,"",'花蓮遊客中心園區'!$AM$17)</f>
        <v>5012</v>
      </c>
      <c r="O42" s="29">
        <f t="shared" si="3"/>
        <v>2082435</v>
      </c>
      <c r="P42" s="32">
        <f t="shared" si="2"/>
        <v>-0.7137801727</v>
      </c>
      <c r="Q42" s="47"/>
      <c r="R42" s="47"/>
      <c r="S42" s="47"/>
      <c r="T42" s="47"/>
      <c r="U42" s="47"/>
      <c r="V42" s="47"/>
      <c r="W42" s="48"/>
      <c r="X42" s="47"/>
      <c r="Y42" s="47"/>
      <c r="Z42" s="47"/>
      <c r="AA42" s="47"/>
    </row>
    <row r="43" ht="15.75" customHeight="1">
      <c r="A43" s="46">
        <v>116.0</v>
      </c>
      <c r="B43" s="29" t="str">
        <f>IF('綠島遊憩區'!$AN$17=0,"",'綠島遊憩區'!$AN$17)</f>
        <v/>
      </c>
      <c r="C43" s="29" t="str">
        <f>IF('東部海岸富岡地質公園及加路蘭休憩區'!$AN$17=0,"",'東部海岸富岡地質公園及加路蘭休憩區'!$AN$17)</f>
        <v/>
      </c>
      <c r="D43" s="29" t="str">
        <f>IF('水往上流遊憩區(113年起停計)'!$AN$17=0,"",'水往上流遊憩區(113年起停計)'!$AN$17)</f>
        <v/>
      </c>
      <c r="E43" s="29" t="str">
        <f>IF('都蘭遊憩區及周邊地區'!$AN$17=0,"",'都蘭遊憩區及周邊地區'!$AN$17)</f>
        <v/>
      </c>
      <c r="F43" s="29" t="str">
        <f>IF('都歷處本部'!$AN$17=0,"",'都歷處本部'!$AN$17)</f>
        <v/>
      </c>
      <c r="G43" s="29" t="str">
        <f>IF('三仙台遊憩區及周邊地區'!$AN$17=0,"",'三仙台遊憩區及周邊地區'!$AN$17)</f>
        <v/>
      </c>
      <c r="H43" s="29" t="str">
        <f>IF('八仙洞遊憩區'!$AN$17=0,"",'八仙洞遊憩區'!$AN$17)</f>
        <v/>
      </c>
      <c r="I43" s="29" t="str">
        <f>IF('秀姑巒溪遊客中心園區'!$AN$17=0,"",'秀姑巒溪遊客中心園區'!$AN$17)</f>
        <v/>
      </c>
      <c r="J43" s="29" t="str">
        <f>IF('石梯坪遊憩區'!$AN$17=0,"",'石梯坪遊憩區'!$AN$17)</f>
        <v/>
      </c>
      <c r="K43" s="29" t="str">
        <f>IF('磯崎海濱遊憩區(113年起停計)'!$AN$17=0,"",'磯崎海濱遊憩區(113年起停計)'!$AN$17)</f>
        <v/>
      </c>
      <c r="L43" s="29" t="str">
        <f>IF('花蓮海洋公園'!$AN$17=0,"",'花蓮海洋公園'!$AN$17)</f>
        <v/>
      </c>
      <c r="M43" s="29" t="str">
        <f>IF('豐濱鄉親不知子海上古道及周邊地區'!$AN$17=0,"",'豐濱鄉親不知子海上古道及周邊地區'!$AN$17)</f>
        <v/>
      </c>
      <c r="N43" s="29" t="str">
        <f>IF('花蓮遊客中心園區'!$AN$17=0,"",'花蓮遊客中心園區'!$AN$17)</f>
        <v/>
      </c>
      <c r="O43" s="29" t="str">
        <f t="shared" si="3"/>
        <v/>
      </c>
      <c r="P43" s="32"/>
      <c r="Q43" s="19"/>
      <c r="R43" s="19"/>
      <c r="S43" s="19"/>
      <c r="T43" s="19"/>
      <c r="U43" s="19"/>
      <c r="V43" s="19"/>
      <c r="W43" s="44"/>
      <c r="X43" s="19"/>
      <c r="Y43" s="19"/>
      <c r="Z43" s="19"/>
      <c r="AA43" s="19"/>
    </row>
    <row r="44" ht="15.75" customHeight="1">
      <c r="A44" s="46">
        <v>117.0</v>
      </c>
      <c r="B44" s="29" t="str">
        <f>IF('綠島遊憩區'!$AO$17=0,"",'綠島遊憩區'!$AO$17)</f>
        <v/>
      </c>
      <c r="C44" s="29" t="str">
        <f>IF('東部海岸富岡地質公園及加路蘭休憩區'!$AO$17=0,"",'東部海岸富岡地質公園及加路蘭休憩區'!$AO$17)</f>
        <v/>
      </c>
      <c r="D44" s="29" t="str">
        <f>IF('水往上流遊憩區(113年起停計)'!$AO$17=0,"",'水往上流遊憩區(113年起停計)'!$AO$17)</f>
        <v/>
      </c>
      <c r="E44" s="29" t="str">
        <f>IF('都蘭遊憩區及周邊地區'!$AO$17=0,"",'都蘭遊憩區及周邊地區'!$AO$17)</f>
        <v/>
      </c>
      <c r="F44" s="29" t="str">
        <f>IF('都歷處本部'!$AO$17=0,"",'都歷處本部'!$AO$17)</f>
        <v/>
      </c>
      <c r="G44" s="29" t="str">
        <f>IF('三仙台遊憩區及周邊地區'!$AO$17=0,"",'三仙台遊憩區及周邊地區'!$AO$17)</f>
        <v/>
      </c>
      <c r="H44" s="29" t="str">
        <f>IF('八仙洞遊憩區'!$AO$17=0,"",'八仙洞遊憩區'!$AO$17)</f>
        <v/>
      </c>
      <c r="I44" s="29" t="str">
        <f>IF('秀姑巒溪遊客中心園區'!$AO$17=0,"",'秀姑巒溪遊客中心園區'!$AO$17)</f>
        <v/>
      </c>
      <c r="J44" s="29" t="str">
        <f>IF('石梯坪遊憩區'!$AO$17=0,"",'石梯坪遊憩區'!$AO$17)</f>
        <v/>
      </c>
      <c r="K44" s="29" t="str">
        <f>IF('磯崎海濱遊憩區(113年起停計)'!$AO$17=0,"",'磯崎海濱遊憩區(113年起停計)'!$AO$17)</f>
        <v/>
      </c>
      <c r="L44" s="29" t="str">
        <f>IF('花蓮海洋公園'!$AO$17=0,"",'花蓮海洋公園'!$AO$17)</f>
        <v/>
      </c>
      <c r="M44" s="29" t="str">
        <f>IF('豐濱鄉親不知子海上古道及周邊地區'!$AO$17=0,"",'豐濱鄉親不知子海上古道及周邊地區'!$AO$17)</f>
        <v/>
      </c>
      <c r="N44" s="29" t="str">
        <f>IF('花蓮遊客中心園區'!$AO$17=0,"",'花蓮遊客中心園區'!$AO$17)</f>
        <v/>
      </c>
      <c r="O44" s="29" t="str">
        <f t="shared" si="3"/>
        <v/>
      </c>
      <c r="P44" s="32"/>
      <c r="Q44" s="19"/>
      <c r="R44" s="19"/>
      <c r="S44" s="19"/>
      <c r="T44" s="19"/>
      <c r="U44" s="19"/>
      <c r="V44" s="19"/>
      <c r="W44" s="44"/>
      <c r="X44" s="19"/>
      <c r="Y44" s="19"/>
      <c r="Z44" s="19"/>
      <c r="AA44" s="19"/>
    </row>
    <row r="45" ht="15.75" customHeight="1">
      <c r="A45" s="46">
        <v>118.0</v>
      </c>
      <c r="B45" s="29" t="str">
        <f>IF('綠島遊憩區'!$AP$17=0,"",'綠島遊憩區'!$AP$17)</f>
        <v/>
      </c>
      <c r="C45" s="29" t="str">
        <f>IF('東部海岸富岡地質公園及加路蘭休憩區'!$AP$17=0,"",'東部海岸富岡地質公園及加路蘭休憩區'!$AP$17)</f>
        <v/>
      </c>
      <c r="D45" s="29" t="str">
        <f>IF('水往上流遊憩區(113年起停計)'!$AP$17=0,"",'水往上流遊憩區(113年起停計)'!$AP$17)</f>
        <v/>
      </c>
      <c r="E45" s="29" t="str">
        <f>IF('都蘭遊憩區及周邊地區'!$AP$17=0,"",'都蘭遊憩區及周邊地區'!$AP$17)</f>
        <v/>
      </c>
      <c r="F45" s="29" t="str">
        <f>IF('都歷處本部'!$AP$17=0,"",'都歷處本部'!$AP$17)</f>
        <v/>
      </c>
      <c r="G45" s="29" t="str">
        <f>IF('三仙台遊憩區及周邊地區'!$AP$17=0,"",'三仙台遊憩區及周邊地區'!$AP$17)</f>
        <v/>
      </c>
      <c r="H45" s="29" t="str">
        <f>IF('八仙洞遊憩區'!$AP$17=0,"",'八仙洞遊憩區'!$AP$17)</f>
        <v/>
      </c>
      <c r="I45" s="29" t="str">
        <f>IF('秀姑巒溪遊客中心園區'!$AP$17=0,"",'秀姑巒溪遊客中心園區'!$AP$17)</f>
        <v/>
      </c>
      <c r="J45" s="29" t="str">
        <f>IF('石梯坪遊憩區'!$AP$17=0,"",'石梯坪遊憩區'!$AP$17)</f>
        <v/>
      </c>
      <c r="K45" s="29" t="str">
        <f>IF('磯崎海濱遊憩區(113年起停計)'!$AP$17=0,"",'磯崎海濱遊憩區(113年起停計)'!$AP$17)</f>
        <v/>
      </c>
      <c r="L45" s="29" t="str">
        <f>IF('花蓮海洋公園'!$AP$17=0,"",'花蓮海洋公園'!$AP$17)</f>
        <v/>
      </c>
      <c r="M45" s="29" t="str">
        <f>IF('豐濱鄉親不知子海上古道及周邊地區'!$AP$17=0,"",'豐濱鄉親不知子海上古道及周邊地區'!$AP$17)</f>
        <v/>
      </c>
      <c r="N45" s="29" t="str">
        <f>IF('花蓮遊客中心園區'!$AP$17=0,"",'花蓮遊客中心園區'!$AP$17)</f>
        <v/>
      </c>
      <c r="O45" s="29" t="str">
        <f t="shared" si="3"/>
        <v/>
      </c>
      <c r="P45" s="32"/>
      <c r="Q45" s="19"/>
      <c r="R45" s="19"/>
      <c r="S45" s="19"/>
      <c r="T45" s="19"/>
      <c r="U45" s="19"/>
      <c r="V45" s="19"/>
      <c r="W45" s="19"/>
      <c r="X45" s="19"/>
      <c r="Y45" s="19"/>
      <c r="Z45" s="19"/>
      <c r="AA45" s="19"/>
    </row>
    <row r="46" ht="15.75" customHeight="1">
      <c r="A46" s="46">
        <v>119.0</v>
      </c>
      <c r="B46" s="29" t="str">
        <f>IF('綠島遊憩區'!$AQ$17=0,"",'綠島遊憩區'!$AQ$17)</f>
        <v/>
      </c>
      <c r="C46" s="29" t="str">
        <f>IF('東部海岸富岡地質公園及加路蘭休憩區'!$AQ$17=0,"",'東部海岸富岡地質公園及加路蘭休憩區'!$AQ$17)</f>
        <v/>
      </c>
      <c r="D46" s="29" t="str">
        <f>IF('水往上流遊憩區(113年起停計)'!$AQ$17=0,"",'水往上流遊憩區(113年起停計)'!$AQ$17)</f>
        <v/>
      </c>
      <c r="E46" s="29" t="str">
        <f>IF('都蘭遊憩區及周邊地區'!$AQ$17=0,"",'都蘭遊憩區及周邊地區'!$AQ$17)</f>
        <v/>
      </c>
      <c r="F46" s="29" t="str">
        <f>IF('都歷處本部'!$AQ$17=0,"",'都歷處本部'!$AQ$17)</f>
        <v/>
      </c>
      <c r="G46" s="29" t="str">
        <f>IF('三仙台遊憩區及周邊地區'!$AQ$17=0,"",'三仙台遊憩區及周邊地區'!$AQ$17)</f>
        <v/>
      </c>
      <c r="H46" s="29" t="str">
        <f>IF('八仙洞遊憩區'!$AQ$17=0,"",'八仙洞遊憩區'!$AQ$17)</f>
        <v/>
      </c>
      <c r="I46" s="29" t="str">
        <f>IF('秀姑巒溪遊客中心園區'!$AQ$17=0,"",'秀姑巒溪遊客中心園區'!$AQ$17)</f>
        <v/>
      </c>
      <c r="J46" s="29" t="str">
        <f>IF('石梯坪遊憩區'!$AQ$17=0,"",'石梯坪遊憩區'!$AQ$17)</f>
        <v/>
      </c>
      <c r="K46" s="29" t="str">
        <f>IF('磯崎海濱遊憩區(113年起停計)'!$AQ$17=0,"",'磯崎海濱遊憩區(113年起停計)'!$AQ$17)</f>
        <v/>
      </c>
      <c r="L46" s="29" t="str">
        <f>IF('花蓮海洋公園'!$AQ$17=0,"",'花蓮海洋公園'!$AQ$17)</f>
        <v/>
      </c>
      <c r="M46" s="29" t="str">
        <f>IF('豐濱鄉親不知子海上古道及周邊地區'!$AQ$17=0,"",'豐濱鄉親不知子海上古道及周邊地區'!$AQ$17)</f>
        <v/>
      </c>
      <c r="N46" s="29" t="str">
        <f>IF('花蓮遊客中心園區'!$AQ$17=0,"",'花蓮遊客中心園區'!$AQ$17)</f>
        <v/>
      </c>
      <c r="O46" s="29" t="str">
        <f t="shared" si="3"/>
        <v/>
      </c>
      <c r="P46" s="32"/>
      <c r="Q46" s="19"/>
      <c r="R46" s="19"/>
      <c r="S46" s="19"/>
      <c r="T46" s="19"/>
      <c r="U46" s="19"/>
      <c r="V46" s="19"/>
      <c r="W46" s="19"/>
      <c r="X46" s="19"/>
      <c r="Y46" s="19"/>
      <c r="Z46" s="19"/>
      <c r="AA46" s="19"/>
    </row>
    <row r="47" ht="15.75" customHeight="1">
      <c r="A47" s="46">
        <v>120.0</v>
      </c>
      <c r="B47" s="29" t="str">
        <f>IF('綠島遊憩區'!$AR$17=0,"",'綠島遊憩區'!$AR$17)</f>
        <v/>
      </c>
      <c r="C47" s="29" t="str">
        <f>IF('東部海岸富岡地質公園及加路蘭休憩區'!$AR$17=0,"",'東部海岸富岡地質公園及加路蘭休憩區'!$AR$17)</f>
        <v/>
      </c>
      <c r="D47" s="29" t="str">
        <f>IF('水往上流遊憩區(113年起停計)'!$AR$17=0,"",'水往上流遊憩區(113年起停計)'!$AR$17)</f>
        <v/>
      </c>
      <c r="E47" s="29" t="str">
        <f>IF('都蘭遊憩區及周邊地區'!$AR$17=0,"",'都蘭遊憩區及周邊地區'!$AR$17)</f>
        <v/>
      </c>
      <c r="F47" s="29" t="str">
        <f>IF('都歷處本部'!$AR$17=0,"",'都歷處本部'!$AR$17)</f>
        <v/>
      </c>
      <c r="G47" s="29" t="str">
        <f>IF('三仙台遊憩區及周邊地區'!$AR$17=0,"",'三仙台遊憩區及周邊地區'!$AR$17)</f>
        <v/>
      </c>
      <c r="H47" s="29" t="str">
        <f>IF('八仙洞遊憩區'!$AR$17=0,"",'八仙洞遊憩區'!$AR$17)</f>
        <v/>
      </c>
      <c r="I47" s="29" t="str">
        <f>IF('秀姑巒溪遊客中心園區'!$AR$17=0,"",'秀姑巒溪遊客中心園區'!$AR$17)</f>
        <v/>
      </c>
      <c r="J47" s="29" t="str">
        <f>IF('石梯坪遊憩區'!$AR$17=0,"",'石梯坪遊憩區'!$AR$17)</f>
        <v/>
      </c>
      <c r="K47" s="29" t="str">
        <f>IF('磯崎海濱遊憩區(113年起停計)'!$AR$17=0,"",'磯崎海濱遊憩區(113年起停計)'!$AR$17)</f>
        <v/>
      </c>
      <c r="L47" s="29" t="str">
        <f>IF('花蓮海洋公園'!$AR$17=0,"",'花蓮海洋公園'!$AR$17)</f>
        <v/>
      </c>
      <c r="M47" s="29" t="str">
        <f>IF('豐濱鄉親不知子海上古道及周邊地區'!$AR$17=0,"",'豐濱鄉親不知子海上古道及周邊地區'!$AR$17)</f>
        <v/>
      </c>
      <c r="N47" s="29" t="str">
        <f>IF('花蓮遊客中心園區'!$AR$17=0,"",'花蓮遊客中心園區'!$AR$17)</f>
        <v/>
      </c>
      <c r="O47" s="29" t="str">
        <f t="shared" si="3"/>
        <v/>
      </c>
      <c r="P47" s="32"/>
      <c r="Q47" s="19"/>
      <c r="R47" s="19"/>
      <c r="S47" s="19"/>
      <c r="T47" s="19"/>
      <c r="U47" s="19"/>
      <c r="V47" s="19"/>
      <c r="W47" s="19"/>
      <c r="X47" s="19"/>
      <c r="Y47" s="19"/>
      <c r="Z47" s="19"/>
      <c r="AA47" s="19"/>
    </row>
    <row r="48" ht="15.75" customHeight="1">
      <c r="A48" s="46"/>
      <c r="B48" s="29"/>
      <c r="C48" s="29"/>
      <c r="D48" s="29"/>
      <c r="E48" s="29"/>
      <c r="F48" s="29"/>
      <c r="G48" s="29"/>
      <c r="H48" s="29"/>
      <c r="I48" s="29"/>
      <c r="J48" s="29"/>
      <c r="K48" s="29"/>
      <c r="L48" s="29"/>
      <c r="M48" s="29"/>
      <c r="N48" s="29"/>
      <c r="O48" s="29"/>
      <c r="P48" s="32"/>
      <c r="Q48" s="19"/>
      <c r="R48" s="19"/>
      <c r="S48" s="19"/>
      <c r="T48" s="19"/>
      <c r="U48" s="19"/>
      <c r="V48" s="19"/>
      <c r="W48" s="19"/>
      <c r="X48" s="19"/>
      <c r="Y48" s="19"/>
      <c r="Z48" s="19"/>
      <c r="AA48" s="19"/>
    </row>
    <row r="49" ht="15.75" customHeight="1">
      <c r="A49" s="46" t="s">
        <v>45</v>
      </c>
      <c r="B49" s="29">
        <f t="shared" ref="B49:O49" si="4">SUM(B5:B47)</f>
        <v>9996371</v>
      </c>
      <c r="C49" s="29">
        <f t="shared" si="4"/>
        <v>18184271.04</v>
      </c>
      <c r="D49" s="29">
        <f t="shared" si="4"/>
        <v>3496828.2</v>
      </c>
      <c r="E49" s="29">
        <f t="shared" si="4"/>
        <v>4120336</v>
      </c>
      <c r="F49" s="29">
        <f t="shared" si="4"/>
        <v>3837189</v>
      </c>
      <c r="G49" s="29">
        <f t="shared" si="4"/>
        <v>25844368.25</v>
      </c>
      <c r="H49" s="29">
        <f t="shared" si="4"/>
        <v>7193525.39</v>
      </c>
      <c r="I49" s="29">
        <f t="shared" si="4"/>
        <v>5672446.4</v>
      </c>
      <c r="J49" s="29">
        <f t="shared" si="4"/>
        <v>13914255.75</v>
      </c>
      <c r="K49" s="29">
        <f t="shared" si="4"/>
        <v>621673.1</v>
      </c>
      <c r="L49" s="29">
        <f t="shared" si="4"/>
        <v>14494800</v>
      </c>
      <c r="M49" s="29">
        <f t="shared" si="4"/>
        <v>1264371</v>
      </c>
      <c r="N49" s="29">
        <f t="shared" si="4"/>
        <v>1591716</v>
      </c>
      <c r="O49" s="29">
        <f t="shared" si="4"/>
        <v>110232151.1</v>
      </c>
      <c r="P49" s="49" t="s">
        <v>46</v>
      </c>
      <c r="Q49" s="19"/>
      <c r="R49" s="19"/>
      <c r="S49" s="19"/>
      <c r="T49" s="19"/>
      <c r="U49" s="19"/>
      <c r="V49" s="19"/>
      <c r="W49" s="19"/>
      <c r="X49" s="19"/>
      <c r="Y49" s="19"/>
      <c r="Z49" s="19"/>
      <c r="AA49" s="19"/>
    </row>
    <row r="50" ht="15.75" customHeight="1">
      <c r="A50" s="50" t="s">
        <v>47</v>
      </c>
      <c r="B50" s="51">
        <f t="shared" ref="B50:P50" si="5">AVERAGE(B5:B47)</f>
        <v>277676.9722</v>
      </c>
      <c r="C50" s="51">
        <f t="shared" si="5"/>
        <v>478533.4484</v>
      </c>
      <c r="D50" s="51">
        <f t="shared" si="5"/>
        <v>437103.525</v>
      </c>
      <c r="E50" s="51">
        <f t="shared" si="5"/>
        <v>1373445.333</v>
      </c>
      <c r="F50" s="51">
        <f t="shared" si="5"/>
        <v>142118.1111</v>
      </c>
      <c r="G50" s="51">
        <f t="shared" si="5"/>
        <v>680114.9539</v>
      </c>
      <c r="H50" s="51">
        <f t="shared" si="5"/>
        <v>189303.2997</v>
      </c>
      <c r="I50" s="51">
        <f t="shared" si="5"/>
        <v>149274.9053</v>
      </c>
      <c r="J50" s="51">
        <f t="shared" si="5"/>
        <v>515342.8056</v>
      </c>
      <c r="K50" s="51">
        <f t="shared" si="5"/>
        <v>29603.48095</v>
      </c>
      <c r="L50" s="51">
        <f t="shared" si="5"/>
        <v>603950</v>
      </c>
      <c r="M50" s="51">
        <f t="shared" si="5"/>
        <v>180624.4286</v>
      </c>
      <c r="N50" s="51">
        <f t="shared" si="5"/>
        <v>58952.44444</v>
      </c>
      <c r="O50" s="51">
        <f t="shared" si="5"/>
        <v>2900846.082</v>
      </c>
      <c r="P50" s="52">
        <f t="shared" si="5"/>
        <v>0.06055658086</v>
      </c>
      <c r="Q50" s="19"/>
      <c r="R50" s="19"/>
      <c r="S50" s="19"/>
      <c r="T50" s="19"/>
      <c r="U50" s="19"/>
      <c r="V50" s="19"/>
      <c r="W50" s="19"/>
      <c r="X50" s="19"/>
      <c r="Y50" s="19"/>
      <c r="Z50" s="19"/>
      <c r="AA50" s="19"/>
    </row>
    <row r="51" ht="18.75" customHeight="1">
      <c r="A51" s="53" t="s">
        <v>48</v>
      </c>
      <c r="B51" s="53"/>
      <c r="C51" s="53"/>
      <c r="D51" s="53"/>
      <c r="E51" s="53"/>
      <c r="F51" s="53"/>
      <c r="G51" s="53"/>
      <c r="H51" s="53"/>
      <c r="I51" s="53"/>
      <c r="J51" s="53"/>
      <c r="K51" s="53"/>
      <c r="L51" s="53"/>
      <c r="M51" s="53"/>
      <c r="N51" s="53"/>
      <c r="O51" s="54"/>
      <c r="P51" s="54"/>
      <c r="Q51" s="54"/>
      <c r="R51" s="54"/>
      <c r="S51" s="54"/>
      <c r="T51" s="54"/>
      <c r="U51" s="54"/>
      <c r="V51" s="54"/>
      <c r="W51" s="54"/>
      <c r="X51" s="54"/>
      <c r="Y51" s="54"/>
      <c r="Z51" s="54"/>
      <c r="AA51" s="6"/>
    </row>
    <row r="52" ht="30.0" customHeight="1">
      <c r="A52" s="55" t="s">
        <v>49</v>
      </c>
      <c r="O52" s="54"/>
      <c r="P52" s="54"/>
      <c r="Q52" s="54"/>
      <c r="R52" s="54"/>
      <c r="S52" s="54"/>
      <c r="T52" s="54"/>
      <c r="U52" s="54"/>
      <c r="V52" s="54"/>
      <c r="W52" s="54"/>
      <c r="X52" s="54"/>
      <c r="Y52" s="54"/>
      <c r="Z52" s="54"/>
      <c r="AA52" s="6"/>
    </row>
    <row r="53" ht="30.0" customHeight="1">
      <c r="A53" s="56" t="s">
        <v>50</v>
      </c>
      <c r="O53" s="54"/>
      <c r="P53" s="54"/>
      <c r="Q53" s="54"/>
      <c r="R53" s="54"/>
      <c r="S53" s="54"/>
      <c r="T53" s="54"/>
      <c r="U53" s="54"/>
      <c r="V53" s="54"/>
      <c r="W53" s="54"/>
      <c r="X53" s="54"/>
      <c r="Y53" s="54"/>
      <c r="Z53" s="54"/>
      <c r="AA53" s="6"/>
    </row>
    <row r="54" ht="18.75" customHeight="1">
      <c r="A54" s="57" t="s">
        <v>51</v>
      </c>
      <c r="O54" s="54"/>
      <c r="P54" s="54"/>
      <c r="Q54" s="54"/>
      <c r="R54" s="54"/>
      <c r="S54" s="54"/>
      <c r="T54" s="54"/>
      <c r="U54" s="54"/>
      <c r="V54" s="54"/>
      <c r="W54" s="54"/>
      <c r="X54" s="54"/>
      <c r="Y54" s="54"/>
      <c r="Z54" s="54"/>
      <c r="AA54" s="6"/>
    </row>
    <row r="55" ht="18.75" customHeight="1">
      <c r="A55" s="56" t="s">
        <v>52</v>
      </c>
      <c r="O55" s="54"/>
      <c r="P55" s="54"/>
      <c r="Q55" s="54"/>
      <c r="R55" s="54"/>
      <c r="S55" s="54"/>
      <c r="T55" s="54"/>
      <c r="U55" s="54"/>
      <c r="V55" s="54"/>
      <c r="W55" s="54"/>
      <c r="X55" s="54"/>
      <c r="Y55" s="54"/>
      <c r="Z55" s="54"/>
      <c r="AA55" s="6"/>
    </row>
    <row r="56" ht="18.75" customHeight="1">
      <c r="A56" s="57" t="s">
        <v>53</v>
      </c>
      <c r="O56" s="54"/>
      <c r="P56" s="54"/>
      <c r="Q56" s="54"/>
      <c r="R56" s="54"/>
      <c r="S56" s="54"/>
      <c r="T56" s="54"/>
      <c r="U56" s="54"/>
      <c r="V56" s="54"/>
      <c r="W56" s="54"/>
      <c r="X56" s="54"/>
      <c r="Y56" s="54"/>
      <c r="Z56" s="54"/>
      <c r="AA56" s="6"/>
    </row>
    <row r="57" ht="18.75" customHeight="1">
      <c r="A57" s="57" t="s">
        <v>54</v>
      </c>
      <c r="O57" s="54"/>
      <c r="P57" s="54"/>
      <c r="Q57" s="54"/>
      <c r="R57" s="54"/>
      <c r="S57" s="54"/>
      <c r="T57" s="54"/>
      <c r="U57" s="54"/>
      <c r="V57" s="54"/>
      <c r="W57" s="54"/>
      <c r="X57" s="54"/>
      <c r="Y57" s="54"/>
      <c r="Z57" s="54"/>
      <c r="AA57" s="6"/>
    </row>
    <row r="58" ht="18.75" customHeight="1">
      <c r="A58" s="57" t="s">
        <v>55</v>
      </c>
      <c r="O58" s="54"/>
      <c r="P58" s="54"/>
      <c r="Q58" s="54"/>
      <c r="R58" s="54"/>
      <c r="S58" s="54"/>
      <c r="T58" s="54"/>
      <c r="U58" s="54"/>
      <c r="V58" s="54"/>
      <c r="W58" s="54"/>
      <c r="X58" s="54"/>
      <c r="Y58" s="54"/>
      <c r="Z58" s="54"/>
      <c r="AA58" s="6"/>
    </row>
    <row r="59" ht="30.0" customHeight="1">
      <c r="A59" s="56" t="s">
        <v>56</v>
      </c>
      <c r="O59" s="54"/>
      <c r="P59" s="54"/>
      <c r="Q59" s="54"/>
      <c r="R59" s="54"/>
      <c r="S59" s="54"/>
      <c r="T59" s="54"/>
      <c r="U59" s="54"/>
      <c r="V59" s="54"/>
      <c r="W59" s="54"/>
      <c r="X59" s="54"/>
      <c r="Y59" s="54"/>
      <c r="Z59" s="54"/>
      <c r="AA59" s="6"/>
    </row>
    <row r="60" ht="18.75" customHeight="1">
      <c r="A60" s="56" t="s">
        <v>57</v>
      </c>
      <c r="O60" s="54"/>
      <c r="P60" s="54"/>
      <c r="Q60" s="54"/>
      <c r="R60" s="54"/>
      <c r="S60" s="54"/>
      <c r="T60" s="54"/>
      <c r="U60" s="54"/>
      <c r="V60" s="54"/>
      <c r="W60" s="54"/>
      <c r="X60" s="54"/>
      <c r="Y60" s="54"/>
      <c r="Z60" s="54"/>
      <c r="AA60" s="58"/>
    </row>
    <row r="61" ht="18.75" customHeight="1">
      <c r="A61" s="56" t="s">
        <v>58</v>
      </c>
      <c r="O61" s="54"/>
      <c r="P61" s="54"/>
      <c r="Q61" s="54"/>
      <c r="R61" s="54"/>
      <c r="S61" s="54"/>
      <c r="T61" s="54"/>
      <c r="U61" s="54"/>
      <c r="V61" s="54"/>
      <c r="W61" s="54"/>
      <c r="X61" s="54"/>
      <c r="Y61" s="54"/>
      <c r="Z61" s="54"/>
      <c r="AA61" s="58"/>
    </row>
    <row r="62" ht="18.75" customHeight="1">
      <c r="A62" s="57" t="s">
        <v>59</v>
      </c>
      <c r="O62" s="54"/>
      <c r="P62" s="54"/>
      <c r="Q62" s="54"/>
      <c r="R62" s="54"/>
      <c r="S62" s="54"/>
      <c r="T62" s="54"/>
      <c r="U62" s="54"/>
      <c r="V62" s="54"/>
      <c r="W62" s="54"/>
      <c r="X62" s="54"/>
      <c r="Y62" s="54"/>
      <c r="Z62" s="54"/>
      <c r="AA62" s="6"/>
    </row>
    <row r="63" ht="37.5" customHeight="1">
      <c r="A63" s="55" t="s">
        <v>60</v>
      </c>
      <c r="O63" s="54"/>
      <c r="P63" s="54"/>
      <c r="Q63" s="54"/>
      <c r="R63" s="54"/>
      <c r="S63" s="54"/>
      <c r="T63" s="54"/>
      <c r="U63" s="54"/>
      <c r="V63" s="54"/>
      <c r="W63" s="54"/>
      <c r="X63" s="54"/>
      <c r="Y63" s="54"/>
      <c r="Z63" s="54"/>
      <c r="AA63" s="6"/>
    </row>
    <row r="64" ht="18.75" customHeight="1">
      <c r="A64" s="57" t="s">
        <v>61</v>
      </c>
      <c r="O64" s="54"/>
      <c r="P64" s="54"/>
      <c r="Q64" s="54"/>
      <c r="R64" s="54"/>
      <c r="S64" s="54"/>
      <c r="T64" s="54"/>
      <c r="U64" s="54"/>
      <c r="V64" s="54"/>
      <c r="W64" s="54"/>
      <c r="X64" s="54"/>
      <c r="Y64" s="54"/>
      <c r="Z64" s="54"/>
      <c r="AA64" s="6"/>
    </row>
    <row r="65" ht="18.75" customHeight="1">
      <c r="A65" s="57" t="s">
        <v>62</v>
      </c>
      <c r="B65" s="57"/>
      <c r="C65" s="57"/>
      <c r="D65" s="57"/>
      <c r="E65" s="57"/>
      <c r="F65" s="57"/>
      <c r="G65" s="57"/>
      <c r="H65" s="57"/>
      <c r="I65" s="57"/>
      <c r="J65" s="57"/>
      <c r="K65" s="57"/>
      <c r="L65" s="57"/>
      <c r="M65" s="57"/>
      <c r="N65" s="57"/>
      <c r="O65" s="54"/>
      <c r="P65" s="54"/>
      <c r="Q65" s="54"/>
      <c r="R65" s="54"/>
      <c r="S65" s="54"/>
      <c r="T65" s="54"/>
      <c r="U65" s="54"/>
      <c r="V65" s="54"/>
      <c r="W65" s="54"/>
      <c r="X65" s="54"/>
      <c r="Y65" s="54"/>
      <c r="Z65" s="54"/>
      <c r="AA65" s="6"/>
    </row>
    <row r="66" ht="18.75" customHeight="1">
      <c r="A66" s="56" t="s">
        <v>63</v>
      </c>
      <c r="O66" s="54"/>
      <c r="P66" s="54"/>
      <c r="Q66" s="54"/>
      <c r="R66" s="54"/>
      <c r="S66" s="54"/>
      <c r="T66" s="54"/>
      <c r="U66" s="54"/>
      <c r="V66" s="54"/>
      <c r="W66" s="54"/>
      <c r="X66" s="54"/>
      <c r="Y66" s="54"/>
      <c r="Z66" s="54"/>
      <c r="AA66" s="6"/>
    </row>
    <row r="67" ht="18.75" customHeight="1">
      <c r="A67" s="55" t="s">
        <v>64</v>
      </c>
      <c r="O67" s="54"/>
      <c r="P67" s="54"/>
      <c r="Q67" s="54"/>
      <c r="R67" s="54"/>
      <c r="S67" s="54"/>
      <c r="T67" s="54"/>
      <c r="U67" s="54"/>
      <c r="V67" s="54"/>
      <c r="W67" s="54"/>
      <c r="X67" s="54"/>
      <c r="Y67" s="54"/>
      <c r="Z67" s="54"/>
      <c r="AA67" s="6"/>
    </row>
    <row r="68" ht="30.0" customHeight="1">
      <c r="A68" s="55" t="s">
        <v>65</v>
      </c>
      <c r="O68" s="54"/>
      <c r="P68" s="54"/>
      <c r="Q68" s="54"/>
      <c r="R68" s="54"/>
      <c r="S68" s="54"/>
      <c r="T68" s="54"/>
      <c r="U68" s="54"/>
      <c r="V68" s="54"/>
      <c r="W68" s="54"/>
      <c r="X68" s="54"/>
      <c r="Y68" s="54"/>
      <c r="Z68" s="54"/>
      <c r="AA68" s="6"/>
    </row>
    <row r="69" ht="30.0" customHeight="1">
      <c r="A69" s="55" t="s">
        <v>66</v>
      </c>
      <c r="O69" s="54"/>
      <c r="P69" s="54"/>
      <c r="Q69" s="54"/>
      <c r="R69" s="54"/>
      <c r="S69" s="54"/>
      <c r="T69" s="54"/>
      <c r="U69" s="54"/>
      <c r="V69" s="54"/>
      <c r="W69" s="54"/>
      <c r="X69" s="54"/>
      <c r="Y69" s="54"/>
      <c r="Z69" s="54"/>
      <c r="AA69" s="6"/>
    </row>
    <row r="70" ht="18.75" customHeight="1">
      <c r="A70" s="55" t="s">
        <v>67</v>
      </c>
      <c r="O70" s="54"/>
      <c r="P70" s="54"/>
      <c r="Q70" s="54"/>
      <c r="R70" s="54"/>
      <c r="S70" s="54"/>
      <c r="T70" s="54"/>
      <c r="U70" s="54"/>
      <c r="V70" s="54"/>
      <c r="W70" s="54"/>
      <c r="X70" s="54"/>
      <c r="Y70" s="54"/>
      <c r="Z70" s="54"/>
      <c r="AA70" s="6"/>
    </row>
    <row r="71" ht="18.75" customHeight="1">
      <c r="A71" s="55" t="s">
        <v>68</v>
      </c>
      <c r="O71" s="54"/>
      <c r="P71" s="54"/>
      <c r="Q71" s="54"/>
      <c r="R71" s="54"/>
      <c r="S71" s="54"/>
      <c r="T71" s="54"/>
      <c r="U71" s="54"/>
      <c r="V71" s="54"/>
      <c r="W71" s="54"/>
      <c r="X71" s="54"/>
      <c r="Y71" s="54"/>
      <c r="Z71" s="54"/>
      <c r="AA71" s="6"/>
    </row>
    <row r="72" ht="30.0" customHeight="1">
      <c r="A72" s="55" t="s">
        <v>69</v>
      </c>
      <c r="O72" s="54"/>
      <c r="P72" s="54"/>
      <c r="Q72" s="54"/>
      <c r="R72" s="54"/>
      <c r="S72" s="54"/>
      <c r="T72" s="54"/>
      <c r="U72" s="54"/>
      <c r="V72" s="54"/>
      <c r="W72" s="54"/>
      <c r="X72" s="54"/>
      <c r="Y72" s="54"/>
      <c r="Z72" s="54"/>
      <c r="AA72" s="6"/>
    </row>
    <row r="73" ht="15.75" customHeight="1">
      <c r="A73" s="59"/>
      <c r="B73" s="59"/>
      <c r="C73" s="59"/>
      <c r="D73" s="59"/>
      <c r="E73" s="59"/>
      <c r="F73" s="59"/>
      <c r="G73" s="59"/>
      <c r="H73" s="59"/>
      <c r="I73" s="59"/>
      <c r="J73" s="59"/>
      <c r="K73" s="59"/>
      <c r="L73" s="59"/>
      <c r="M73" s="59"/>
      <c r="N73" s="59"/>
      <c r="O73" s="7"/>
      <c r="P73" s="6"/>
      <c r="Q73" s="6"/>
      <c r="R73" s="6"/>
      <c r="S73" s="6"/>
      <c r="T73" s="6"/>
      <c r="U73" s="6"/>
      <c r="V73" s="6"/>
      <c r="W73" s="6"/>
      <c r="X73" s="6"/>
      <c r="Y73" s="6"/>
      <c r="Z73" s="6"/>
      <c r="AA73" s="6"/>
    </row>
    <row r="74" ht="15.75" customHeight="1">
      <c r="A74" s="59"/>
      <c r="B74" s="59"/>
      <c r="C74" s="59"/>
      <c r="D74" s="59"/>
      <c r="E74" s="59"/>
      <c r="F74" s="59"/>
      <c r="G74" s="59"/>
      <c r="H74" s="59"/>
      <c r="I74" s="59"/>
      <c r="J74" s="59"/>
      <c r="K74" s="59"/>
      <c r="L74" s="59"/>
      <c r="M74" s="59"/>
      <c r="N74" s="59"/>
      <c r="O74" s="7"/>
      <c r="P74" s="6"/>
      <c r="Q74" s="6"/>
      <c r="R74" s="6"/>
      <c r="S74" s="6"/>
      <c r="T74" s="6"/>
      <c r="U74" s="6"/>
      <c r="V74" s="6"/>
      <c r="W74" s="6"/>
      <c r="X74" s="6"/>
      <c r="Y74" s="6"/>
      <c r="Z74" s="6"/>
      <c r="AA74" s="6"/>
    </row>
    <row r="75" ht="15.75" customHeight="1">
      <c r="A75" s="59"/>
      <c r="B75" s="59"/>
      <c r="C75" s="59"/>
      <c r="D75" s="59"/>
      <c r="E75" s="59"/>
      <c r="F75" s="59"/>
      <c r="G75" s="59"/>
      <c r="H75" s="59"/>
      <c r="I75" s="59"/>
      <c r="J75" s="59"/>
      <c r="K75" s="59"/>
      <c r="L75" s="59"/>
      <c r="M75" s="59"/>
      <c r="N75" s="59"/>
      <c r="O75" s="7"/>
      <c r="P75" s="6"/>
      <c r="Q75" s="6"/>
      <c r="R75" s="6"/>
      <c r="S75" s="6"/>
      <c r="T75" s="6"/>
      <c r="U75" s="6"/>
      <c r="V75" s="6"/>
      <c r="W75" s="6"/>
      <c r="X75" s="6"/>
      <c r="Y75" s="6"/>
      <c r="Z75" s="6"/>
      <c r="AA75" s="6"/>
    </row>
    <row r="76" ht="15.75" customHeight="1">
      <c r="A76" s="59"/>
      <c r="B76" s="59"/>
      <c r="C76" s="59"/>
      <c r="D76" s="59"/>
      <c r="E76" s="59"/>
      <c r="F76" s="59"/>
      <c r="G76" s="59"/>
      <c r="H76" s="59"/>
      <c r="I76" s="59"/>
      <c r="J76" s="59"/>
      <c r="K76" s="59"/>
      <c r="L76" s="59"/>
      <c r="M76" s="59"/>
      <c r="N76" s="59"/>
      <c r="O76" s="7"/>
      <c r="P76" s="6"/>
      <c r="Q76" s="6"/>
      <c r="R76" s="6"/>
      <c r="S76" s="6"/>
      <c r="T76" s="6"/>
      <c r="U76" s="6"/>
      <c r="V76" s="6"/>
      <c r="W76" s="6"/>
      <c r="X76" s="6"/>
      <c r="Y76" s="6"/>
      <c r="Z76" s="6"/>
      <c r="AA76" s="6"/>
    </row>
    <row r="77" ht="15.75" customHeight="1">
      <c r="A77" s="59"/>
      <c r="B77" s="59"/>
      <c r="C77" s="59"/>
      <c r="D77" s="59"/>
      <c r="E77" s="59"/>
      <c r="F77" s="59"/>
      <c r="G77" s="59"/>
      <c r="H77" s="59"/>
      <c r="I77" s="59"/>
      <c r="J77" s="59"/>
      <c r="K77" s="59"/>
      <c r="L77" s="59"/>
      <c r="M77" s="59"/>
      <c r="N77" s="59"/>
      <c r="O77" s="7"/>
      <c r="P77" s="6"/>
      <c r="Q77" s="6"/>
      <c r="R77" s="6"/>
      <c r="S77" s="6"/>
      <c r="T77" s="6"/>
      <c r="U77" s="6"/>
      <c r="V77" s="6"/>
      <c r="W77" s="6"/>
      <c r="X77" s="6"/>
      <c r="Y77" s="6"/>
      <c r="Z77" s="6"/>
      <c r="AA77" s="6"/>
    </row>
    <row r="78" ht="15.75" customHeight="1">
      <c r="A78" s="59"/>
      <c r="B78" s="59"/>
      <c r="C78" s="59"/>
      <c r="D78" s="59"/>
      <c r="E78" s="59"/>
      <c r="F78" s="59"/>
      <c r="G78" s="59"/>
      <c r="H78" s="59"/>
      <c r="I78" s="59"/>
      <c r="J78" s="59"/>
      <c r="K78" s="59"/>
      <c r="L78" s="59"/>
      <c r="M78" s="59"/>
      <c r="N78" s="59"/>
      <c r="O78" s="7"/>
      <c r="P78" s="6"/>
      <c r="Q78" s="6"/>
      <c r="R78" s="6"/>
      <c r="S78" s="6"/>
      <c r="T78" s="6"/>
      <c r="U78" s="6"/>
      <c r="V78" s="6"/>
      <c r="W78" s="6"/>
      <c r="X78" s="6"/>
      <c r="Y78" s="6"/>
      <c r="Z78" s="6"/>
      <c r="AA78" s="6"/>
    </row>
    <row r="79" ht="15.75" customHeight="1">
      <c r="A79" s="59"/>
      <c r="B79" s="59"/>
      <c r="C79" s="59"/>
      <c r="D79" s="59"/>
      <c r="E79" s="59"/>
      <c r="F79" s="59"/>
      <c r="G79" s="59"/>
      <c r="H79" s="59"/>
      <c r="I79" s="59"/>
      <c r="J79" s="59"/>
      <c r="K79" s="59"/>
      <c r="L79" s="59"/>
      <c r="M79" s="59"/>
      <c r="N79" s="59"/>
      <c r="O79" s="7"/>
      <c r="P79" s="6"/>
      <c r="Q79" s="6"/>
      <c r="R79" s="6"/>
      <c r="S79" s="6"/>
      <c r="T79" s="6"/>
      <c r="U79" s="6"/>
      <c r="V79" s="6"/>
      <c r="W79" s="6"/>
      <c r="X79" s="6"/>
      <c r="Y79" s="6"/>
      <c r="Z79" s="6"/>
      <c r="AA79" s="6"/>
    </row>
    <row r="80" ht="15.75" customHeight="1">
      <c r="A80" s="59"/>
      <c r="B80" s="59"/>
      <c r="C80" s="59"/>
      <c r="D80" s="59"/>
      <c r="E80" s="59"/>
      <c r="F80" s="59"/>
      <c r="G80" s="59"/>
      <c r="H80" s="59"/>
      <c r="I80" s="59"/>
      <c r="J80" s="59"/>
      <c r="K80" s="59"/>
      <c r="L80" s="59"/>
      <c r="M80" s="59"/>
      <c r="N80" s="59"/>
      <c r="O80" s="7"/>
      <c r="P80" s="6"/>
      <c r="Q80" s="6"/>
      <c r="R80" s="6"/>
      <c r="S80" s="6"/>
      <c r="T80" s="6"/>
      <c r="U80" s="6"/>
      <c r="V80" s="6"/>
      <c r="W80" s="6"/>
      <c r="X80" s="6"/>
      <c r="Y80" s="6"/>
      <c r="Z80" s="6"/>
      <c r="AA80" s="6"/>
    </row>
    <row r="81" ht="15.75" customHeight="1">
      <c r="A81" s="59"/>
      <c r="B81" s="59"/>
      <c r="C81" s="59"/>
      <c r="D81" s="59"/>
      <c r="E81" s="59"/>
      <c r="F81" s="59"/>
      <c r="G81" s="59"/>
      <c r="H81" s="59"/>
      <c r="I81" s="59"/>
      <c r="J81" s="59"/>
      <c r="K81" s="59"/>
      <c r="L81" s="59"/>
      <c r="M81" s="59"/>
      <c r="N81" s="59"/>
      <c r="O81" s="7"/>
      <c r="P81" s="6"/>
      <c r="Q81" s="6"/>
      <c r="R81" s="6"/>
      <c r="S81" s="6"/>
      <c r="T81" s="6"/>
      <c r="U81" s="6"/>
      <c r="V81" s="6"/>
      <c r="W81" s="6"/>
      <c r="X81" s="6"/>
      <c r="Y81" s="6"/>
      <c r="Z81" s="6"/>
      <c r="AA81" s="6"/>
    </row>
    <row r="82" ht="15.75" customHeight="1">
      <c r="A82" s="59"/>
      <c r="B82" s="59"/>
      <c r="C82" s="59"/>
      <c r="D82" s="59"/>
      <c r="E82" s="59"/>
      <c r="F82" s="59"/>
      <c r="G82" s="59"/>
      <c r="H82" s="59"/>
      <c r="I82" s="59"/>
      <c r="J82" s="59"/>
      <c r="K82" s="59"/>
      <c r="L82" s="59"/>
      <c r="M82" s="59"/>
      <c r="N82" s="59"/>
      <c r="O82" s="7"/>
      <c r="P82" s="6"/>
      <c r="Q82" s="6"/>
      <c r="R82" s="6"/>
      <c r="S82" s="6"/>
      <c r="T82" s="6"/>
      <c r="U82" s="6"/>
      <c r="V82" s="6"/>
      <c r="W82" s="6"/>
      <c r="X82" s="6"/>
      <c r="Y82" s="6"/>
      <c r="Z82" s="6"/>
      <c r="AA82" s="6"/>
    </row>
    <row r="83" ht="15.75" customHeight="1">
      <c r="A83" s="59"/>
      <c r="B83" s="59"/>
      <c r="C83" s="59"/>
      <c r="D83" s="59"/>
      <c r="E83" s="59"/>
      <c r="F83" s="59"/>
      <c r="G83" s="59"/>
      <c r="H83" s="59"/>
      <c r="I83" s="59"/>
      <c r="J83" s="59"/>
      <c r="K83" s="59"/>
      <c r="L83" s="59"/>
      <c r="M83" s="59"/>
      <c r="N83" s="59"/>
      <c r="O83" s="7"/>
      <c r="P83" s="6"/>
      <c r="Q83" s="6"/>
      <c r="R83" s="6"/>
      <c r="S83" s="6"/>
      <c r="T83" s="6"/>
      <c r="U83" s="6"/>
      <c r="V83" s="6"/>
      <c r="W83" s="6"/>
      <c r="X83" s="6"/>
      <c r="Y83" s="6"/>
      <c r="Z83" s="6"/>
      <c r="AA83" s="6"/>
    </row>
    <row r="84" ht="15.75" customHeight="1">
      <c r="A84" s="59"/>
      <c r="B84" s="59"/>
      <c r="C84" s="59"/>
      <c r="D84" s="59"/>
      <c r="E84" s="59"/>
      <c r="F84" s="59"/>
      <c r="G84" s="59"/>
      <c r="H84" s="59"/>
      <c r="I84" s="59"/>
      <c r="J84" s="59"/>
      <c r="K84" s="59"/>
      <c r="L84" s="59"/>
      <c r="M84" s="59"/>
      <c r="N84" s="59"/>
      <c r="O84" s="7"/>
      <c r="P84" s="6"/>
      <c r="Q84" s="6"/>
      <c r="R84" s="6"/>
      <c r="S84" s="6"/>
      <c r="T84" s="6"/>
      <c r="U84" s="6"/>
      <c r="V84" s="6"/>
      <c r="W84" s="6"/>
      <c r="X84" s="6"/>
      <c r="Y84" s="6"/>
      <c r="Z84" s="6"/>
      <c r="AA84" s="6"/>
    </row>
    <row r="85" ht="15.75" customHeight="1">
      <c r="A85" s="59"/>
      <c r="B85" s="59"/>
      <c r="C85" s="59"/>
      <c r="D85" s="59"/>
      <c r="E85" s="59"/>
      <c r="F85" s="59"/>
      <c r="G85" s="59"/>
      <c r="H85" s="59"/>
      <c r="I85" s="59"/>
      <c r="J85" s="59"/>
      <c r="K85" s="59"/>
      <c r="L85" s="59"/>
      <c r="M85" s="59"/>
      <c r="N85" s="59"/>
      <c r="O85" s="7"/>
      <c r="P85" s="6"/>
      <c r="Q85" s="6"/>
      <c r="R85" s="6"/>
      <c r="S85" s="6"/>
      <c r="T85" s="6"/>
      <c r="U85" s="6"/>
      <c r="V85" s="6"/>
      <c r="W85" s="6"/>
      <c r="X85" s="6"/>
      <c r="Y85" s="6"/>
      <c r="Z85" s="6"/>
      <c r="AA85" s="6"/>
    </row>
    <row r="86" ht="15.75" customHeight="1">
      <c r="A86" s="59"/>
      <c r="B86" s="59"/>
      <c r="C86" s="59"/>
      <c r="D86" s="59"/>
      <c r="E86" s="59"/>
      <c r="F86" s="59"/>
      <c r="G86" s="59"/>
      <c r="H86" s="59"/>
      <c r="I86" s="59"/>
      <c r="J86" s="59"/>
      <c r="K86" s="59"/>
      <c r="L86" s="59"/>
      <c r="M86" s="59"/>
      <c r="N86" s="59"/>
      <c r="O86" s="7"/>
      <c r="P86" s="6"/>
      <c r="Q86" s="6"/>
      <c r="R86" s="6"/>
      <c r="S86" s="6"/>
      <c r="T86" s="6"/>
      <c r="U86" s="6"/>
      <c r="V86" s="6"/>
      <c r="W86" s="6"/>
      <c r="X86" s="6"/>
      <c r="Y86" s="6"/>
      <c r="Z86" s="6"/>
      <c r="AA86" s="6"/>
    </row>
    <row r="87" ht="15.75" customHeight="1">
      <c r="A87" s="59"/>
      <c r="B87" s="59"/>
      <c r="C87" s="59"/>
      <c r="D87" s="59"/>
      <c r="E87" s="59"/>
      <c r="F87" s="59"/>
      <c r="G87" s="59"/>
      <c r="H87" s="59"/>
      <c r="I87" s="59"/>
      <c r="J87" s="59"/>
      <c r="K87" s="59"/>
      <c r="L87" s="59"/>
      <c r="M87" s="59"/>
      <c r="N87" s="59"/>
      <c r="O87" s="7"/>
      <c r="P87" s="6"/>
      <c r="Q87" s="6"/>
      <c r="R87" s="6"/>
      <c r="S87" s="6"/>
      <c r="T87" s="6"/>
      <c r="U87" s="6"/>
      <c r="V87" s="6"/>
      <c r="W87" s="6"/>
      <c r="X87" s="6"/>
      <c r="Y87" s="6"/>
      <c r="Z87" s="6"/>
      <c r="AA87" s="6"/>
    </row>
    <row r="88" ht="15.75" customHeight="1">
      <c r="A88" s="59"/>
      <c r="B88" s="59"/>
      <c r="C88" s="59"/>
      <c r="D88" s="59"/>
      <c r="E88" s="59"/>
      <c r="F88" s="59"/>
      <c r="G88" s="59"/>
      <c r="H88" s="59"/>
      <c r="I88" s="59"/>
      <c r="J88" s="59"/>
      <c r="K88" s="59"/>
      <c r="L88" s="59"/>
      <c r="M88" s="59"/>
      <c r="N88" s="59"/>
      <c r="O88" s="7"/>
      <c r="P88" s="6"/>
      <c r="Q88" s="6"/>
      <c r="R88" s="6"/>
      <c r="S88" s="6"/>
      <c r="T88" s="6"/>
      <c r="U88" s="6"/>
      <c r="V88" s="6"/>
      <c r="W88" s="6"/>
      <c r="X88" s="6"/>
      <c r="Y88" s="6"/>
      <c r="Z88" s="6"/>
      <c r="AA88" s="6"/>
    </row>
    <row r="89" ht="15.75" customHeight="1">
      <c r="A89" s="59"/>
      <c r="B89" s="59"/>
      <c r="C89" s="59"/>
      <c r="D89" s="59"/>
      <c r="E89" s="59"/>
      <c r="F89" s="59"/>
      <c r="G89" s="59"/>
      <c r="H89" s="59"/>
      <c r="I89" s="59"/>
      <c r="J89" s="59"/>
      <c r="K89" s="59"/>
      <c r="L89" s="59"/>
      <c r="M89" s="59"/>
      <c r="N89" s="59"/>
      <c r="O89" s="7"/>
      <c r="P89" s="6"/>
      <c r="Q89" s="6"/>
      <c r="R89" s="6"/>
      <c r="S89" s="6"/>
      <c r="T89" s="6"/>
      <c r="U89" s="6"/>
      <c r="V89" s="6"/>
      <c r="W89" s="6"/>
      <c r="X89" s="6"/>
      <c r="Y89" s="6"/>
      <c r="Z89" s="6"/>
      <c r="AA89" s="6"/>
    </row>
    <row r="90" ht="15.75" customHeight="1">
      <c r="A90" s="59"/>
      <c r="B90" s="59"/>
      <c r="C90" s="59"/>
      <c r="D90" s="59"/>
      <c r="E90" s="59"/>
      <c r="F90" s="59"/>
      <c r="G90" s="59"/>
      <c r="H90" s="59"/>
      <c r="I90" s="59"/>
      <c r="J90" s="59"/>
      <c r="K90" s="59"/>
      <c r="L90" s="59"/>
      <c r="M90" s="59"/>
      <c r="N90" s="59"/>
      <c r="O90" s="7"/>
      <c r="P90" s="6"/>
      <c r="Q90" s="6"/>
      <c r="R90" s="6"/>
      <c r="S90" s="6"/>
      <c r="T90" s="6"/>
      <c r="U90" s="6"/>
      <c r="V90" s="6"/>
      <c r="W90" s="6"/>
      <c r="X90" s="6"/>
      <c r="Y90" s="6"/>
      <c r="Z90" s="6"/>
      <c r="AA90" s="6"/>
    </row>
    <row r="91" ht="15.75" customHeight="1">
      <c r="A91" s="59"/>
      <c r="B91" s="59"/>
      <c r="C91" s="59"/>
      <c r="D91" s="59"/>
      <c r="E91" s="59"/>
      <c r="F91" s="59"/>
      <c r="G91" s="59"/>
      <c r="H91" s="59"/>
      <c r="I91" s="59"/>
      <c r="J91" s="59"/>
      <c r="K91" s="59"/>
      <c r="L91" s="59"/>
      <c r="M91" s="59"/>
      <c r="N91" s="59"/>
      <c r="O91" s="7"/>
      <c r="P91" s="6"/>
      <c r="Q91" s="6"/>
      <c r="R91" s="6"/>
      <c r="S91" s="6"/>
      <c r="T91" s="6"/>
      <c r="U91" s="6"/>
      <c r="V91" s="6"/>
      <c r="W91" s="6"/>
      <c r="X91" s="6"/>
      <c r="Y91" s="6"/>
      <c r="Z91" s="6"/>
      <c r="AA91" s="6"/>
    </row>
    <row r="92" ht="15.75" customHeight="1">
      <c r="A92" s="59"/>
      <c r="B92" s="59"/>
      <c r="C92" s="59"/>
      <c r="D92" s="59"/>
      <c r="E92" s="59"/>
      <c r="F92" s="59"/>
      <c r="G92" s="59"/>
      <c r="H92" s="59"/>
      <c r="I92" s="59"/>
      <c r="J92" s="59"/>
      <c r="K92" s="59"/>
      <c r="L92" s="59"/>
      <c r="M92" s="59"/>
      <c r="N92" s="59"/>
      <c r="O92" s="7"/>
      <c r="P92" s="6"/>
      <c r="Q92" s="6"/>
      <c r="R92" s="6"/>
      <c r="S92" s="6"/>
      <c r="T92" s="6"/>
      <c r="U92" s="6"/>
      <c r="V92" s="6"/>
      <c r="W92" s="6"/>
      <c r="X92" s="6"/>
      <c r="Y92" s="6"/>
      <c r="Z92" s="6"/>
      <c r="AA92" s="6"/>
    </row>
    <row r="93" ht="15.75" customHeight="1">
      <c r="A93" s="59"/>
      <c r="B93" s="59"/>
      <c r="C93" s="59"/>
      <c r="D93" s="59"/>
      <c r="E93" s="59"/>
      <c r="F93" s="59"/>
      <c r="G93" s="59"/>
      <c r="H93" s="59"/>
      <c r="I93" s="59"/>
      <c r="J93" s="59"/>
      <c r="K93" s="59"/>
      <c r="L93" s="59"/>
      <c r="M93" s="59"/>
      <c r="N93" s="59"/>
      <c r="O93" s="7"/>
      <c r="P93" s="6"/>
      <c r="Q93" s="6"/>
      <c r="R93" s="6"/>
      <c r="S93" s="6"/>
      <c r="T93" s="6"/>
      <c r="U93" s="6"/>
      <c r="V93" s="6"/>
      <c r="W93" s="6"/>
      <c r="X93" s="6"/>
      <c r="Y93" s="6"/>
      <c r="Z93" s="6"/>
      <c r="AA93" s="6"/>
    </row>
    <row r="94" ht="15.75" customHeight="1">
      <c r="A94" s="59"/>
      <c r="B94" s="59"/>
      <c r="C94" s="59"/>
      <c r="D94" s="59"/>
      <c r="E94" s="59"/>
      <c r="F94" s="59"/>
      <c r="G94" s="59"/>
      <c r="H94" s="59"/>
      <c r="I94" s="59"/>
      <c r="J94" s="59"/>
      <c r="K94" s="59"/>
      <c r="L94" s="59"/>
      <c r="M94" s="59"/>
      <c r="N94" s="59"/>
      <c r="O94" s="7"/>
      <c r="P94" s="6"/>
      <c r="Q94" s="6"/>
      <c r="R94" s="6"/>
      <c r="S94" s="6"/>
      <c r="T94" s="6"/>
      <c r="U94" s="6"/>
      <c r="V94" s="6"/>
      <c r="W94" s="6"/>
      <c r="X94" s="6"/>
      <c r="Y94" s="6"/>
      <c r="Z94" s="6"/>
      <c r="AA94" s="6"/>
    </row>
    <row r="95" ht="15.75" customHeight="1">
      <c r="A95" s="59"/>
      <c r="B95" s="59"/>
      <c r="C95" s="59"/>
      <c r="D95" s="59"/>
      <c r="E95" s="59"/>
      <c r="F95" s="59"/>
      <c r="G95" s="59"/>
      <c r="H95" s="59"/>
      <c r="I95" s="59"/>
      <c r="J95" s="59"/>
      <c r="K95" s="59"/>
      <c r="L95" s="59"/>
      <c r="M95" s="59"/>
      <c r="N95" s="59"/>
      <c r="O95" s="7"/>
      <c r="P95" s="6"/>
      <c r="Q95" s="6"/>
      <c r="R95" s="6"/>
      <c r="S95" s="6"/>
      <c r="T95" s="6"/>
      <c r="U95" s="6"/>
      <c r="V95" s="6"/>
      <c r="W95" s="6"/>
      <c r="X95" s="6"/>
      <c r="Y95" s="6"/>
      <c r="Z95" s="6"/>
      <c r="AA95" s="6"/>
    </row>
    <row r="96" ht="15.75" customHeight="1">
      <c r="A96" s="59"/>
      <c r="B96" s="59"/>
      <c r="C96" s="59"/>
      <c r="D96" s="59"/>
      <c r="E96" s="59"/>
      <c r="F96" s="59"/>
      <c r="G96" s="59"/>
      <c r="H96" s="59"/>
      <c r="I96" s="59"/>
      <c r="J96" s="59"/>
      <c r="K96" s="59"/>
      <c r="L96" s="59"/>
      <c r="M96" s="59"/>
      <c r="N96" s="59"/>
      <c r="O96" s="7"/>
      <c r="P96" s="6"/>
      <c r="Q96" s="6"/>
      <c r="R96" s="6"/>
      <c r="S96" s="6"/>
      <c r="T96" s="6"/>
      <c r="U96" s="6"/>
      <c r="V96" s="6"/>
      <c r="W96" s="6"/>
      <c r="X96" s="6"/>
      <c r="Y96" s="6"/>
      <c r="Z96" s="6"/>
      <c r="AA96" s="6"/>
    </row>
    <row r="97" ht="15.75" customHeight="1">
      <c r="A97" s="59"/>
      <c r="B97" s="59"/>
      <c r="C97" s="59"/>
      <c r="D97" s="59"/>
      <c r="E97" s="59"/>
      <c r="F97" s="59"/>
      <c r="G97" s="59"/>
      <c r="H97" s="59"/>
      <c r="I97" s="59"/>
      <c r="J97" s="59"/>
      <c r="K97" s="59"/>
      <c r="L97" s="59"/>
      <c r="M97" s="59"/>
      <c r="N97" s="59"/>
      <c r="O97" s="7"/>
      <c r="P97" s="6"/>
      <c r="Q97" s="6"/>
      <c r="R97" s="6"/>
      <c r="S97" s="6"/>
      <c r="T97" s="6"/>
      <c r="U97" s="6"/>
      <c r="V97" s="6"/>
      <c r="W97" s="6"/>
      <c r="X97" s="6"/>
      <c r="Y97" s="6"/>
      <c r="Z97" s="6"/>
      <c r="AA97" s="6"/>
    </row>
    <row r="98" ht="15.75" customHeight="1">
      <c r="A98" s="59"/>
      <c r="B98" s="59"/>
      <c r="C98" s="59"/>
      <c r="D98" s="59"/>
      <c r="E98" s="59"/>
      <c r="F98" s="59"/>
      <c r="G98" s="59"/>
      <c r="H98" s="59"/>
      <c r="I98" s="59"/>
      <c r="J98" s="59"/>
      <c r="K98" s="59"/>
      <c r="L98" s="59"/>
      <c r="M98" s="59"/>
      <c r="N98" s="59"/>
      <c r="O98" s="7"/>
      <c r="P98" s="6"/>
      <c r="Q98" s="6"/>
      <c r="R98" s="6"/>
      <c r="S98" s="6"/>
      <c r="T98" s="6"/>
      <c r="U98" s="6"/>
      <c r="V98" s="6"/>
      <c r="W98" s="6"/>
      <c r="X98" s="6"/>
      <c r="Y98" s="6"/>
      <c r="Z98" s="6"/>
      <c r="AA98" s="6"/>
    </row>
    <row r="99" ht="15.75" customHeight="1">
      <c r="A99" s="59"/>
      <c r="B99" s="59"/>
      <c r="C99" s="59"/>
      <c r="D99" s="59"/>
      <c r="E99" s="59"/>
      <c r="F99" s="59"/>
      <c r="G99" s="59"/>
      <c r="H99" s="59"/>
      <c r="I99" s="59"/>
      <c r="J99" s="59"/>
      <c r="K99" s="59"/>
      <c r="L99" s="59"/>
      <c r="M99" s="59"/>
      <c r="N99" s="59"/>
      <c r="O99" s="7"/>
      <c r="P99" s="6"/>
      <c r="Q99" s="6"/>
      <c r="R99" s="6"/>
      <c r="S99" s="6"/>
      <c r="T99" s="6"/>
      <c r="U99" s="6"/>
      <c r="V99" s="6"/>
      <c r="W99" s="6"/>
      <c r="X99" s="6"/>
      <c r="Y99" s="6"/>
      <c r="Z99" s="6"/>
      <c r="AA99" s="6"/>
    </row>
    <row r="100" ht="15.75" customHeight="1">
      <c r="A100" s="59"/>
      <c r="B100" s="59"/>
      <c r="C100" s="59"/>
      <c r="D100" s="59"/>
      <c r="E100" s="59"/>
      <c r="F100" s="59"/>
      <c r="G100" s="59"/>
      <c r="H100" s="59"/>
      <c r="I100" s="59"/>
      <c r="J100" s="59"/>
      <c r="K100" s="59"/>
      <c r="L100" s="59"/>
      <c r="M100" s="59"/>
      <c r="N100" s="59"/>
      <c r="O100" s="7"/>
      <c r="P100" s="6"/>
      <c r="Q100" s="6"/>
      <c r="R100" s="6"/>
      <c r="S100" s="6"/>
      <c r="T100" s="6"/>
      <c r="U100" s="6"/>
      <c r="V100" s="6"/>
      <c r="W100" s="6"/>
      <c r="X100" s="6"/>
      <c r="Y100" s="6"/>
      <c r="Z100" s="6"/>
      <c r="AA100" s="6"/>
    </row>
    <row r="101" ht="15.75" customHeight="1">
      <c r="A101" s="59"/>
      <c r="B101" s="59"/>
      <c r="C101" s="59"/>
      <c r="D101" s="59"/>
      <c r="E101" s="59"/>
      <c r="F101" s="59"/>
      <c r="G101" s="59"/>
      <c r="H101" s="59"/>
      <c r="I101" s="59"/>
      <c r="J101" s="59"/>
      <c r="K101" s="59"/>
      <c r="L101" s="59"/>
      <c r="M101" s="59"/>
      <c r="N101" s="59"/>
      <c r="O101" s="7"/>
      <c r="P101" s="6"/>
      <c r="Q101" s="6"/>
      <c r="R101" s="6"/>
      <c r="S101" s="6"/>
      <c r="T101" s="6"/>
      <c r="U101" s="6"/>
      <c r="V101" s="6"/>
      <c r="W101" s="6"/>
      <c r="X101" s="6"/>
      <c r="Y101" s="6"/>
      <c r="Z101" s="6"/>
      <c r="AA101" s="6"/>
    </row>
    <row r="102" ht="15.75" customHeight="1">
      <c r="A102" s="59"/>
      <c r="B102" s="59"/>
      <c r="C102" s="59"/>
      <c r="D102" s="59"/>
      <c r="E102" s="59"/>
      <c r="F102" s="59"/>
      <c r="G102" s="59"/>
      <c r="H102" s="59"/>
      <c r="I102" s="59"/>
      <c r="J102" s="59"/>
      <c r="K102" s="59"/>
      <c r="L102" s="59"/>
      <c r="M102" s="59"/>
      <c r="N102" s="59"/>
      <c r="O102" s="7"/>
      <c r="P102" s="6"/>
      <c r="Q102" s="6"/>
      <c r="R102" s="6"/>
      <c r="S102" s="6"/>
      <c r="T102" s="6"/>
      <c r="U102" s="6"/>
      <c r="V102" s="6"/>
      <c r="W102" s="6"/>
      <c r="X102" s="6"/>
      <c r="Y102" s="6"/>
      <c r="Z102" s="6"/>
      <c r="AA102" s="6"/>
    </row>
    <row r="103" ht="15.75" customHeight="1">
      <c r="A103" s="59"/>
      <c r="B103" s="59"/>
      <c r="C103" s="59"/>
      <c r="D103" s="59"/>
      <c r="E103" s="59"/>
      <c r="F103" s="59"/>
      <c r="G103" s="59"/>
      <c r="H103" s="59"/>
      <c r="I103" s="59"/>
      <c r="J103" s="59"/>
      <c r="K103" s="59"/>
      <c r="L103" s="59"/>
      <c r="M103" s="59"/>
      <c r="N103" s="59"/>
      <c r="O103" s="7"/>
      <c r="P103" s="6"/>
      <c r="Q103" s="6"/>
      <c r="R103" s="6"/>
      <c r="S103" s="6"/>
      <c r="T103" s="6"/>
      <c r="U103" s="6"/>
      <c r="V103" s="6"/>
      <c r="W103" s="6"/>
      <c r="X103" s="6"/>
      <c r="Y103" s="6"/>
      <c r="Z103" s="6"/>
      <c r="AA103" s="6"/>
    </row>
    <row r="104" ht="15.75" customHeight="1">
      <c r="A104" s="59"/>
      <c r="B104" s="59"/>
      <c r="C104" s="59"/>
      <c r="D104" s="59"/>
      <c r="E104" s="59"/>
      <c r="F104" s="59"/>
      <c r="G104" s="59"/>
      <c r="H104" s="59"/>
      <c r="I104" s="59"/>
      <c r="J104" s="59"/>
      <c r="K104" s="59"/>
      <c r="L104" s="59"/>
      <c r="M104" s="59"/>
      <c r="N104" s="59"/>
      <c r="O104" s="7"/>
      <c r="P104" s="6"/>
      <c r="Q104" s="6"/>
      <c r="R104" s="6"/>
      <c r="S104" s="6"/>
      <c r="T104" s="6"/>
      <c r="U104" s="6"/>
      <c r="V104" s="6"/>
      <c r="W104" s="6"/>
      <c r="X104" s="6"/>
      <c r="Y104" s="6"/>
      <c r="Z104" s="6"/>
      <c r="AA104" s="6"/>
    </row>
    <row r="105" ht="15.75" customHeight="1">
      <c r="A105" s="59"/>
      <c r="B105" s="59"/>
      <c r="C105" s="59"/>
      <c r="D105" s="59"/>
      <c r="E105" s="59"/>
      <c r="F105" s="59"/>
      <c r="G105" s="59"/>
      <c r="H105" s="59"/>
      <c r="I105" s="59"/>
      <c r="J105" s="59"/>
      <c r="K105" s="59"/>
      <c r="L105" s="59"/>
      <c r="M105" s="59"/>
      <c r="N105" s="59"/>
      <c r="O105" s="7"/>
      <c r="P105" s="6"/>
      <c r="Q105" s="6"/>
      <c r="R105" s="6"/>
      <c r="S105" s="6"/>
      <c r="T105" s="6"/>
      <c r="U105" s="6"/>
      <c r="V105" s="6"/>
      <c r="W105" s="6"/>
      <c r="X105" s="6"/>
      <c r="Y105" s="6"/>
      <c r="Z105" s="6"/>
      <c r="AA105" s="6"/>
    </row>
    <row r="106" ht="15.75" customHeight="1">
      <c r="A106" s="59"/>
      <c r="B106" s="59"/>
      <c r="C106" s="59"/>
      <c r="D106" s="59"/>
      <c r="E106" s="59"/>
      <c r="F106" s="59"/>
      <c r="G106" s="59"/>
      <c r="H106" s="59"/>
      <c r="I106" s="59"/>
      <c r="J106" s="59"/>
      <c r="K106" s="59"/>
      <c r="L106" s="59"/>
      <c r="M106" s="59"/>
      <c r="N106" s="59"/>
      <c r="O106" s="7"/>
      <c r="P106" s="6"/>
      <c r="Q106" s="6"/>
      <c r="R106" s="6"/>
      <c r="S106" s="6"/>
      <c r="T106" s="6"/>
      <c r="U106" s="6"/>
      <c r="V106" s="6"/>
      <c r="W106" s="6"/>
      <c r="X106" s="6"/>
      <c r="Y106" s="6"/>
      <c r="Z106" s="6"/>
      <c r="AA106" s="6"/>
    </row>
    <row r="107" ht="15.75" customHeight="1">
      <c r="A107" s="59"/>
      <c r="B107" s="59"/>
      <c r="C107" s="59"/>
      <c r="D107" s="59"/>
      <c r="E107" s="59"/>
      <c r="F107" s="59"/>
      <c r="G107" s="59"/>
      <c r="H107" s="59"/>
      <c r="I107" s="59"/>
      <c r="J107" s="59"/>
      <c r="K107" s="59"/>
      <c r="L107" s="59"/>
      <c r="M107" s="59"/>
      <c r="N107" s="59"/>
      <c r="O107" s="7"/>
      <c r="P107" s="6"/>
      <c r="Q107" s="6"/>
      <c r="R107" s="6"/>
      <c r="S107" s="6"/>
      <c r="T107" s="6"/>
      <c r="U107" s="6"/>
      <c r="V107" s="6"/>
      <c r="W107" s="6"/>
      <c r="X107" s="6"/>
      <c r="Y107" s="6"/>
      <c r="Z107" s="6"/>
      <c r="AA107" s="6"/>
    </row>
    <row r="108" ht="15.75" customHeight="1">
      <c r="A108" s="59"/>
      <c r="B108" s="59"/>
      <c r="C108" s="59"/>
      <c r="D108" s="59"/>
      <c r="E108" s="59"/>
      <c r="F108" s="59"/>
      <c r="G108" s="59"/>
      <c r="H108" s="59"/>
      <c r="I108" s="59"/>
      <c r="J108" s="59"/>
      <c r="K108" s="59"/>
      <c r="L108" s="59"/>
      <c r="M108" s="59"/>
      <c r="N108" s="59"/>
      <c r="O108" s="7"/>
      <c r="P108" s="6"/>
      <c r="Q108" s="6"/>
      <c r="R108" s="6"/>
      <c r="S108" s="6"/>
      <c r="T108" s="6"/>
      <c r="U108" s="6"/>
      <c r="V108" s="6"/>
      <c r="W108" s="6"/>
      <c r="X108" s="6"/>
      <c r="Y108" s="6"/>
      <c r="Z108" s="6"/>
      <c r="AA108" s="6"/>
    </row>
    <row r="109" ht="15.75" customHeight="1">
      <c r="A109" s="59"/>
      <c r="B109" s="59"/>
      <c r="C109" s="59"/>
      <c r="D109" s="59"/>
      <c r="E109" s="59"/>
      <c r="F109" s="59"/>
      <c r="G109" s="59"/>
      <c r="H109" s="59"/>
      <c r="I109" s="59"/>
      <c r="J109" s="59"/>
      <c r="K109" s="59"/>
      <c r="L109" s="59"/>
      <c r="M109" s="59"/>
      <c r="N109" s="59"/>
      <c r="O109" s="7"/>
      <c r="P109" s="6"/>
      <c r="Q109" s="6"/>
      <c r="R109" s="6"/>
      <c r="S109" s="6"/>
      <c r="T109" s="6"/>
      <c r="U109" s="6"/>
      <c r="V109" s="6"/>
      <c r="W109" s="6"/>
      <c r="X109" s="6"/>
      <c r="Y109" s="6"/>
      <c r="Z109" s="6"/>
      <c r="AA109" s="6"/>
    </row>
    <row r="110" ht="15.75" customHeight="1">
      <c r="A110" s="59"/>
      <c r="B110" s="59"/>
      <c r="C110" s="59"/>
      <c r="D110" s="59"/>
      <c r="E110" s="59"/>
      <c r="F110" s="59"/>
      <c r="G110" s="59"/>
      <c r="H110" s="59"/>
      <c r="I110" s="59"/>
      <c r="J110" s="59"/>
      <c r="K110" s="59"/>
      <c r="L110" s="59"/>
      <c r="M110" s="59"/>
      <c r="N110" s="59"/>
      <c r="O110" s="7"/>
      <c r="P110" s="6"/>
      <c r="Q110" s="6"/>
      <c r="R110" s="6"/>
      <c r="S110" s="6"/>
      <c r="T110" s="6"/>
      <c r="U110" s="6"/>
      <c r="V110" s="6"/>
      <c r="W110" s="6"/>
      <c r="X110" s="6"/>
      <c r="Y110" s="6"/>
      <c r="Z110" s="6"/>
      <c r="AA110" s="6"/>
    </row>
    <row r="111" ht="15.75" customHeight="1">
      <c r="A111" s="59"/>
      <c r="B111" s="59"/>
      <c r="C111" s="59"/>
      <c r="D111" s="59"/>
      <c r="E111" s="59"/>
      <c r="F111" s="59"/>
      <c r="G111" s="59"/>
      <c r="H111" s="59"/>
      <c r="I111" s="59"/>
      <c r="J111" s="59"/>
      <c r="K111" s="59"/>
      <c r="L111" s="59"/>
      <c r="M111" s="59"/>
      <c r="N111" s="59"/>
      <c r="O111" s="7"/>
      <c r="P111" s="6"/>
      <c r="Q111" s="6"/>
      <c r="R111" s="6"/>
      <c r="S111" s="6"/>
      <c r="T111" s="6"/>
      <c r="U111" s="6"/>
      <c r="V111" s="6"/>
      <c r="W111" s="6"/>
      <c r="X111" s="6"/>
      <c r="Y111" s="6"/>
      <c r="Z111" s="6"/>
      <c r="AA111" s="6"/>
    </row>
    <row r="112" ht="15.75" customHeight="1">
      <c r="A112" s="59"/>
      <c r="B112" s="59"/>
      <c r="C112" s="59"/>
      <c r="D112" s="59"/>
      <c r="E112" s="59"/>
      <c r="F112" s="59"/>
      <c r="G112" s="59"/>
      <c r="H112" s="59"/>
      <c r="I112" s="59"/>
      <c r="J112" s="59"/>
      <c r="K112" s="59"/>
      <c r="L112" s="59"/>
      <c r="M112" s="59"/>
      <c r="N112" s="59"/>
      <c r="O112" s="7"/>
      <c r="P112" s="6"/>
      <c r="Q112" s="6"/>
      <c r="R112" s="6"/>
      <c r="S112" s="6"/>
      <c r="T112" s="6"/>
      <c r="U112" s="6"/>
      <c r="V112" s="6"/>
      <c r="W112" s="6"/>
      <c r="X112" s="6"/>
      <c r="Y112" s="6"/>
      <c r="Z112" s="6"/>
      <c r="AA112" s="6"/>
    </row>
    <row r="113" ht="15.75" customHeight="1">
      <c r="A113" s="59"/>
      <c r="B113" s="59"/>
      <c r="C113" s="59"/>
      <c r="D113" s="59"/>
      <c r="E113" s="59"/>
      <c r="F113" s="59"/>
      <c r="G113" s="59"/>
      <c r="H113" s="59"/>
      <c r="I113" s="59"/>
      <c r="J113" s="59"/>
      <c r="K113" s="59"/>
      <c r="L113" s="59"/>
      <c r="M113" s="59"/>
      <c r="N113" s="59"/>
      <c r="O113" s="7"/>
      <c r="P113" s="6"/>
      <c r="Q113" s="6"/>
      <c r="R113" s="6"/>
      <c r="S113" s="6"/>
      <c r="T113" s="6"/>
      <c r="U113" s="6"/>
      <c r="V113" s="6"/>
      <c r="W113" s="6"/>
      <c r="X113" s="6"/>
      <c r="Y113" s="6"/>
      <c r="Z113" s="6"/>
      <c r="AA113" s="6"/>
    </row>
    <row r="114" ht="15.75" customHeight="1">
      <c r="A114" s="59"/>
      <c r="B114" s="59"/>
      <c r="C114" s="59"/>
      <c r="D114" s="59"/>
      <c r="E114" s="59"/>
      <c r="F114" s="59"/>
      <c r="G114" s="59"/>
      <c r="H114" s="59"/>
      <c r="I114" s="59"/>
      <c r="J114" s="59"/>
      <c r="K114" s="59"/>
      <c r="L114" s="59"/>
      <c r="M114" s="59"/>
      <c r="N114" s="59"/>
      <c r="O114" s="7"/>
      <c r="P114" s="6"/>
      <c r="Q114" s="6"/>
      <c r="R114" s="6"/>
      <c r="S114" s="6"/>
      <c r="T114" s="6"/>
      <c r="U114" s="6"/>
      <c r="V114" s="6"/>
      <c r="W114" s="6"/>
      <c r="X114" s="6"/>
      <c r="Y114" s="6"/>
      <c r="Z114" s="6"/>
      <c r="AA114" s="6"/>
    </row>
    <row r="115" ht="15.75" customHeight="1">
      <c r="A115" s="59"/>
      <c r="B115" s="59"/>
      <c r="C115" s="59"/>
      <c r="D115" s="59"/>
      <c r="E115" s="59"/>
      <c r="F115" s="59"/>
      <c r="G115" s="59"/>
      <c r="H115" s="59"/>
      <c r="I115" s="59"/>
      <c r="J115" s="59"/>
      <c r="K115" s="59"/>
      <c r="L115" s="59"/>
      <c r="M115" s="59"/>
      <c r="N115" s="59"/>
      <c r="O115" s="7"/>
      <c r="P115" s="6"/>
      <c r="Q115" s="6"/>
      <c r="R115" s="6"/>
      <c r="S115" s="6"/>
      <c r="T115" s="6"/>
      <c r="U115" s="6"/>
      <c r="V115" s="6"/>
      <c r="W115" s="6"/>
      <c r="X115" s="6"/>
      <c r="Y115" s="6"/>
      <c r="Z115" s="6"/>
      <c r="AA115" s="6"/>
    </row>
    <row r="116" ht="15.75" customHeight="1">
      <c r="A116" s="59"/>
      <c r="B116" s="59"/>
      <c r="C116" s="59"/>
      <c r="D116" s="59"/>
      <c r="E116" s="59"/>
      <c r="F116" s="59"/>
      <c r="G116" s="59"/>
      <c r="H116" s="59"/>
      <c r="I116" s="59"/>
      <c r="J116" s="59"/>
      <c r="K116" s="59"/>
      <c r="L116" s="59"/>
      <c r="M116" s="59"/>
      <c r="N116" s="59"/>
      <c r="O116" s="7"/>
      <c r="P116" s="6"/>
      <c r="Q116" s="6"/>
      <c r="R116" s="6"/>
      <c r="S116" s="6"/>
      <c r="T116" s="6"/>
      <c r="U116" s="6"/>
      <c r="V116" s="6"/>
      <c r="W116" s="6"/>
      <c r="X116" s="6"/>
      <c r="Y116" s="6"/>
      <c r="Z116" s="6"/>
      <c r="AA116" s="6"/>
    </row>
    <row r="117" ht="15.75" customHeight="1">
      <c r="A117" s="59"/>
      <c r="B117" s="59"/>
      <c r="C117" s="59"/>
      <c r="D117" s="59"/>
      <c r="E117" s="59"/>
      <c r="F117" s="59"/>
      <c r="G117" s="59"/>
      <c r="H117" s="59"/>
      <c r="I117" s="59"/>
      <c r="J117" s="59"/>
      <c r="K117" s="59"/>
      <c r="L117" s="59"/>
      <c r="M117" s="59"/>
      <c r="N117" s="59"/>
      <c r="O117" s="7"/>
      <c r="P117" s="6"/>
      <c r="Q117" s="6"/>
      <c r="R117" s="6"/>
      <c r="S117" s="6"/>
      <c r="T117" s="6"/>
      <c r="U117" s="6"/>
      <c r="V117" s="6"/>
      <c r="W117" s="6"/>
      <c r="X117" s="6"/>
      <c r="Y117" s="6"/>
      <c r="Z117" s="6"/>
      <c r="AA117" s="6"/>
    </row>
    <row r="118" ht="15.75" customHeight="1">
      <c r="A118" s="59"/>
      <c r="B118" s="59"/>
      <c r="C118" s="59"/>
      <c r="D118" s="59"/>
      <c r="E118" s="59"/>
      <c r="F118" s="59"/>
      <c r="G118" s="59"/>
      <c r="H118" s="59"/>
      <c r="I118" s="59"/>
      <c r="J118" s="59"/>
      <c r="K118" s="59"/>
      <c r="L118" s="59"/>
      <c r="M118" s="59"/>
      <c r="N118" s="59"/>
      <c r="O118" s="7"/>
      <c r="P118" s="6"/>
      <c r="Q118" s="6"/>
      <c r="R118" s="6"/>
      <c r="S118" s="6"/>
      <c r="T118" s="6"/>
      <c r="U118" s="6"/>
      <c r="V118" s="6"/>
      <c r="W118" s="6"/>
      <c r="X118" s="6"/>
      <c r="Y118" s="6"/>
      <c r="Z118" s="6"/>
      <c r="AA118" s="6"/>
    </row>
    <row r="119" ht="15.75" customHeight="1">
      <c r="A119" s="59"/>
      <c r="B119" s="59"/>
      <c r="C119" s="59"/>
      <c r="D119" s="59"/>
      <c r="E119" s="59"/>
      <c r="F119" s="59"/>
      <c r="G119" s="59"/>
      <c r="H119" s="59"/>
      <c r="I119" s="59"/>
      <c r="J119" s="59"/>
      <c r="K119" s="59"/>
      <c r="L119" s="59"/>
      <c r="M119" s="59"/>
      <c r="N119" s="59"/>
      <c r="O119" s="7"/>
      <c r="P119" s="6"/>
      <c r="Q119" s="6"/>
      <c r="R119" s="6"/>
      <c r="S119" s="6"/>
      <c r="T119" s="6"/>
      <c r="U119" s="6"/>
      <c r="V119" s="6"/>
      <c r="W119" s="6"/>
      <c r="X119" s="6"/>
      <c r="Y119" s="6"/>
      <c r="Z119" s="6"/>
      <c r="AA119" s="6"/>
    </row>
    <row r="120" ht="15.75" customHeight="1">
      <c r="A120" s="59"/>
      <c r="B120" s="59"/>
      <c r="C120" s="59"/>
      <c r="D120" s="59"/>
      <c r="E120" s="59"/>
      <c r="F120" s="59"/>
      <c r="G120" s="59"/>
      <c r="H120" s="59"/>
      <c r="I120" s="59"/>
      <c r="J120" s="59"/>
      <c r="K120" s="59"/>
      <c r="L120" s="59"/>
      <c r="M120" s="59"/>
      <c r="N120" s="59"/>
      <c r="O120" s="7"/>
      <c r="P120" s="6"/>
      <c r="Q120" s="6"/>
      <c r="R120" s="6"/>
      <c r="S120" s="6"/>
      <c r="T120" s="6"/>
      <c r="U120" s="6"/>
      <c r="V120" s="6"/>
      <c r="W120" s="6"/>
      <c r="X120" s="6"/>
      <c r="Y120" s="6"/>
      <c r="Z120" s="6"/>
      <c r="AA120" s="6"/>
    </row>
    <row r="121" ht="15.75" customHeight="1">
      <c r="A121" s="59"/>
      <c r="B121" s="59"/>
      <c r="C121" s="59"/>
      <c r="D121" s="59"/>
      <c r="E121" s="59"/>
      <c r="F121" s="59"/>
      <c r="G121" s="59"/>
      <c r="H121" s="59"/>
      <c r="I121" s="59"/>
      <c r="J121" s="59"/>
      <c r="K121" s="59"/>
      <c r="L121" s="59"/>
      <c r="M121" s="59"/>
      <c r="N121" s="59"/>
      <c r="O121" s="7"/>
      <c r="P121" s="6"/>
      <c r="Q121" s="6"/>
      <c r="R121" s="6"/>
      <c r="S121" s="6"/>
      <c r="T121" s="6"/>
      <c r="U121" s="6"/>
      <c r="V121" s="6"/>
      <c r="W121" s="6"/>
      <c r="X121" s="6"/>
      <c r="Y121" s="6"/>
      <c r="Z121" s="6"/>
      <c r="AA121" s="6"/>
    </row>
    <row r="122" ht="15.75" customHeight="1">
      <c r="A122" s="59"/>
      <c r="B122" s="59"/>
      <c r="C122" s="59"/>
      <c r="D122" s="59"/>
      <c r="E122" s="59"/>
      <c r="F122" s="59"/>
      <c r="G122" s="59"/>
      <c r="H122" s="59"/>
      <c r="I122" s="59"/>
      <c r="J122" s="59"/>
      <c r="K122" s="59"/>
      <c r="L122" s="59"/>
      <c r="M122" s="59"/>
      <c r="N122" s="59"/>
      <c r="O122" s="7"/>
      <c r="P122" s="6"/>
      <c r="Q122" s="6"/>
      <c r="R122" s="6"/>
      <c r="S122" s="6"/>
      <c r="T122" s="6"/>
      <c r="U122" s="6"/>
      <c r="V122" s="6"/>
      <c r="W122" s="6"/>
      <c r="X122" s="6"/>
      <c r="Y122" s="6"/>
      <c r="Z122" s="6"/>
      <c r="AA122" s="6"/>
    </row>
    <row r="123" ht="15.75" customHeight="1">
      <c r="A123" s="59"/>
      <c r="B123" s="59"/>
      <c r="C123" s="59"/>
      <c r="D123" s="59"/>
      <c r="E123" s="59"/>
      <c r="F123" s="59"/>
      <c r="G123" s="59"/>
      <c r="H123" s="59"/>
      <c r="I123" s="59"/>
      <c r="J123" s="59"/>
      <c r="K123" s="59"/>
      <c r="L123" s="59"/>
      <c r="M123" s="59"/>
      <c r="N123" s="59"/>
      <c r="O123" s="7"/>
      <c r="P123" s="6"/>
      <c r="Q123" s="6"/>
      <c r="R123" s="6"/>
      <c r="S123" s="6"/>
      <c r="T123" s="6"/>
      <c r="U123" s="6"/>
      <c r="V123" s="6"/>
      <c r="W123" s="6"/>
      <c r="X123" s="6"/>
      <c r="Y123" s="6"/>
      <c r="Z123" s="6"/>
      <c r="AA123" s="6"/>
    </row>
    <row r="124" ht="15.75" customHeight="1">
      <c r="A124" s="59"/>
      <c r="B124" s="59"/>
      <c r="C124" s="59"/>
      <c r="D124" s="59"/>
      <c r="E124" s="59"/>
      <c r="F124" s="59"/>
      <c r="G124" s="59"/>
      <c r="H124" s="59"/>
      <c r="I124" s="59"/>
      <c r="J124" s="59"/>
      <c r="K124" s="59"/>
      <c r="L124" s="59"/>
      <c r="M124" s="59"/>
      <c r="N124" s="59"/>
      <c r="O124" s="7"/>
      <c r="P124" s="6"/>
      <c r="Q124" s="6"/>
      <c r="R124" s="6"/>
      <c r="S124" s="6"/>
      <c r="T124" s="6"/>
      <c r="U124" s="6"/>
      <c r="V124" s="6"/>
      <c r="W124" s="6"/>
      <c r="X124" s="6"/>
      <c r="Y124" s="6"/>
      <c r="Z124" s="6"/>
      <c r="AA124" s="6"/>
    </row>
    <row r="125" ht="15.75" customHeight="1">
      <c r="A125" s="59"/>
      <c r="B125" s="59"/>
      <c r="C125" s="59"/>
      <c r="D125" s="59"/>
      <c r="E125" s="59"/>
      <c r="F125" s="59"/>
      <c r="G125" s="59"/>
      <c r="H125" s="59"/>
      <c r="I125" s="59"/>
      <c r="J125" s="59"/>
      <c r="K125" s="59"/>
      <c r="L125" s="59"/>
      <c r="M125" s="59"/>
      <c r="N125" s="59"/>
      <c r="O125" s="7"/>
      <c r="P125" s="6"/>
      <c r="Q125" s="6"/>
      <c r="R125" s="6"/>
      <c r="S125" s="6"/>
      <c r="T125" s="6"/>
      <c r="U125" s="6"/>
      <c r="V125" s="6"/>
      <c r="W125" s="6"/>
      <c r="X125" s="6"/>
      <c r="Y125" s="6"/>
      <c r="Z125" s="6"/>
      <c r="AA125" s="6"/>
    </row>
    <row r="126" ht="15.75" customHeight="1">
      <c r="A126" s="59"/>
      <c r="B126" s="59"/>
      <c r="C126" s="59"/>
      <c r="D126" s="59"/>
      <c r="E126" s="59"/>
      <c r="F126" s="59"/>
      <c r="G126" s="59"/>
      <c r="H126" s="59"/>
      <c r="I126" s="59"/>
      <c r="J126" s="59"/>
      <c r="K126" s="59"/>
      <c r="L126" s="59"/>
      <c r="M126" s="59"/>
      <c r="N126" s="59"/>
      <c r="O126" s="7"/>
      <c r="P126" s="6"/>
      <c r="Q126" s="6"/>
      <c r="R126" s="6"/>
      <c r="S126" s="6"/>
      <c r="T126" s="6"/>
      <c r="U126" s="6"/>
      <c r="V126" s="6"/>
      <c r="W126" s="6"/>
      <c r="X126" s="6"/>
      <c r="Y126" s="6"/>
      <c r="Z126" s="6"/>
      <c r="AA126" s="6"/>
    </row>
    <row r="127" ht="15.75" customHeight="1">
      <c r="A127" s="59"/>
      <c r="B127" s="59"/>
      <c r="C127" s="59"/>
      <c r="D127" s="59"/>
      <c r="E127" s="59"/>
      <c r="F127" s="59"/>
      <c r="G127" s="59"/>
      <c r="H127" s="59"/>
      <c r="I127" s="59"/>
      <c r="J127" s="59"/>
      <c r="K127" s="59"/>
      <c r="L127" s="59"/>
      <c r="M127" s="59"/>
      <c r="N127" s="59"/>
      <c r="O127" s="7"/>
      <c r="P127" s="6"/>
      <c r="Q127" s="6"/>
      <c r="R127" s="6"/>
      <c r="S127" s="6"/>
      <c r="T127" s="6"/>
      <c r="U127" s="6"/>
      <c r="V127" s="6"/>
      <c r="W127" s="6"/>
      <c r="X127" s="6"/>
      <c r="Y127" s="6"/>
      <c r="Z127" s="6"/>
      <c r="AA127" s="6"/>
    </row>
    <row r="128" ht="15.75" customHeight="1">
      <c r="A128" s="59"/>
      <c r="B128" s="59"/>
      <c r="C128" s="59"/>
      <c r="D128" s="59"/>
      <c r="E128" s="59"/>
      <c r="F128" s="59"/>
      <c r="G128" s="59"/>
      <c r="H128" s="59"/>
      <c r="I128" s="59"/>
      <c r="J128" s="59"/>
      <c r="K128" s="59"/>
      <c r="L128" s="59"/>
      <c r="M128" s="59"/>
      <c r="N128" s="59"/>
      <c r="O128" s="7"/>
      <c r="P128" s="6"/>
      <c r="Q128" s="6"/>
      <c r="R128" s="6"/>
      <c r="S128" s="6"/>
      <c r="T128" s="6"/>
      <c r="U128" s="6"/>
      <c r="V128" s="6"/>
      <c r="W128" s="6"/>
      <c r="X128" s="6"/>
      <c r="Y128" s="6"/>
      <c r="Z128" s="6"/>
      <c r="AA128" s="6"/>
    </row>
    <row r="129" ht="15.75" customHeight="1">
      <c r="A129" s="59"/>
      <c r="B129" s="59"/>
      <c r="C129" s="59"/>
      <c r="D129" s="59"/>
      <c r="E129" s="59"/>
      <c r="F129" s="59"/>
      <c r="G129" s="59"/>
      <c r="H129" s="59"/>
      <c r="I129" s="59"/>
      <c r="J129" s="59"/>
      <c r="K129" s="59"/>
      <c r="L129" s="59"/>
      <c r="M129" s="59"/>
      <c r="N129" s="59"/>
      <c r="O129" s="7"/>
      <c r="P129" s="6"/>
      <c r="Q129" s="6"/>
      <c r="R129" s="6"/>
      <c r="S129" s="6"/>
      <c r="T129" s="6"/>
      <c r="U129" s="6"/>
      <c r="V129" s="6"/>
      <c r="W129" s="6"/>
      <c r="X129" s="6"/>
      <c r="Y129" s="6"/>
      <c r="Z129" s="6"/>
      <c r="AA129" s="6"/>
    </row>
    <row r="130" ht="15.75" customHeight="1">
      <c r="A130" s="59"/>
      <c r="B130" s="59"/>
      <c r="C130" s="59"/>
      <c r="D130" s="59"/>
      <c r="E130" s="59"/>
      <c r="F130" s="59"/>
      <c r="G130" s="59"/>
      <c r="H130" s="59"/>
      <c r="I130" s="59"/>
      <c r="J130" s="59"/>
      <c r="K130" s="59"/>
      <c r="L130" s="59"/>
      <c r="M130" s="59"/>
      <c r="N130" s="59"/>
      <c r="O130" s="7"/>
      <c r="P130" s="6"/>
      <c r="Q130" s="6"/>
      <c r="R130" s="6"/>
      <c r="S130" s="6"/>
      <c r="T130" s="6"/>
      <c r="U130" s="6"/>
      <c r="V130" s="6"/>
      <c r="W130" s="6"/>
      <c r="X130" s="6"/>
      <c r="Y130" s="6"/>
      <c r="Z130" s="6"/>
      <c r="AA130" s="6"/>
    </row>
    <row r="131" ht="15.75" customHeight="1">
      <c r="A131" s="59"/>
      <c r="B131" s="59"/>
      <c r="C131" s="59"/>
      <c r="D131" s="59"/>
      <c r="E131" s="59"/>
      <c r="F131" s="59"/>
      <c r="G131" s="59"/>
      <c r="H131" s="59"/>
      <c r="I131" s="59"/>
      <c r="J131" s="59"/>
      <c r="K131" s="59"/>
      <c r="L131" s="59"/>
      <c r="M131" s="59"/>
      <c r="N131" s="59"/>
      <c r="O131" s="7"/>
      <c r="P131" s="6"/>
      <c r="Q131" s="6"/>
      <c r="R131" s="6"/>
      <c r="S131" s="6"/>
      <c r="T131" s="6"/>
      <c r="U131" s="6"/>
      <c r="V131" s="6"/>
      <c r="W131" s="6"/>
      <c r="X131" s="6"/>
      <c r="Y131" s="6"/>
      <c r="Z131" s="6"/>
      <c r="AA131" s="6"/>
    </row>
    <row r="132" ht="15.75" customHeight="1">
      <c r="A132" s="59"/>
      <c r="B132" s="59"/>
      <c r="C132" s="59"/>
      <c r="D132" s="59"/>
      <c r="E132" s="59"/>
      <c r="F132" s="59"/>
      <c r="G132" s="59"/>
      <c r="H132" s="59"/>
      <c r="I132" s="59"/>
      <c r="J132" s="59"/>
      <c r="K132" s="59"/>
      <c r="L132" s="59"/>
      <c r="M132" s="59"/>
      <c r="N132" s="59"/>
      <c r="O132" s="7"/>
      <c r="P132" s="6"/>
      <c r="Q132" s="6"/>
      <c r="R132" s="6"/>
      <c r="S132" s="6"/>
      <c r="T132" s="6"/>
      <c r="U132" s="6"/>
      <c r="V132" s="6"/>
      <c r="W132" s="6"/>
      <c r="X132" s="6"/>
      <c r="Y132" s="6"/>
      <c r="Z132" s="6"/>
      <c r="AA132" s="6"/>
    </row>
    <row r="133" ht="15.75" customHeight="1">
      <c r="A133" s="59"/>
      <c r="B133" s="59"/>
      <c r="C133" s="59"/>
      <c r="D133" s="59"/>
      <c r="E133" s="59"/>
      <c r="F133" s="59"/>
      <c r="G133" s="59"/>
      <c r="H133" s="59"/>
      <c r="I133" s="59"/>
      <c r="J133" s="59"/>
      <c r="K133" s="59"/>
      <c r="L133" s="59"/>
      <c r="M133" s="59"/>
      <c r="N133" s="59"/>
      <c r="O133" s="7"/>
      <c r="P133" s="6"/>
      <c r="Q133" s="6"/>
      <c r="R133" s="6"/>
      <c r="S133" s="6"/>
      <c r="T133" s="6"/>
      <c r="U133" s="6"/>
      <c r="V133" s="6"/>
      <c r="W133" s="6"/>
      <c r="X133" s="6"/>
      <c r="Y133" s="6"/>
      <c r="Z133" s="6"/>
      <c r="AA133" s="6"/>
    </row>
    <row r="134" ht="15.75" customHeight="1">
      <c r="A134" s="59"/>
      <c r="B134" s="59"/>
      <c r="C134" s="59"/>
      <c r="D134" s="59"/>
      <c r="E134" s="59"/>
      <c r="F134" s="59"/>
      <c r="G134" s="59"/>
      <c r="H134" s="59"/>
      <c r="I134" s="59"/>
      <c r="J134" s="59"/>
      <c r="K134" s="59"/>
      <c r="L134" s="59"/>
      <c r="M134" s="59"/>
      <c r="N134" s="59"/>
      <c r="O134" s="7"/>
      <c r="P134" s="6"/>
      <c r="Q134" s="6"/>
      <c r="R134" s="6"/>
      <c r="S134" s="6"/>
      <c r="T134" s="6"/>
      <c r="U134" s="6"/>
      <c r="V134" s="6"/>
      <c r="W134" s="6"/>
      <c r="X134" s="6"/>
      <c r="Y134" s="6"/>
      <c r="Z134" s="6"/>
      <c r="AA134" s="6"/>
    </row>
    <row r="135" ht="15.75" customHeight="1">
      <c r="A135" s="59"/>
      <c r="B135" s="59"/>
      <c r="C135" s="59"/>
      <c r="D135" s="59"/>
      <c r="E135" s="59"/>
      <c r="F135" s="59"/>
      <c r="G135" s="59"/>
      <c r="H135" s="59"/>
      <c r="I135" s="59"/>
      <c r="J135" s="59"/>
      <c r="K135" s="59"/>
      <c r="L135" s="59"/>
      <c r="M135" s="59"/>
      <c r="N135" s="59"/>
      <c r="O135" s="7"/>
      <c r="P135" s="6"/>
      <c r="Q135" s="6"/>
      <c r="R135" s="6"/>
      <c r="S135" s="6"/>
      <c r="T135" s="6"/>
      <c r="U135" s="6"/>
      <c r="V135" s="6"/>
      <c r="W135" s="6"/>
      <c r="X135" s="6"/>
      <c r="Y135" s="6"/>
      <c r="Z135" s="6"/>
      <c r="AA135" s="6"/>
    </row>
    <row r="136" ht="15.75" customHeight="1">
      <c r="A136" s="59"/>
      <c r="B136" s="59"/>
      <c r="C136" s="59"/>
      <c r="D136" s="59"/>
      <c r="E136" s="59"/>
      <c r="F136" s="59"/>
      <c r="G136" s="59"/>
      <c r="H136" s="59"/>
      <c r="I136" s="59"/>
      <c r="J136" s="59"/>
      <c r="K136" s="59"/>
      <c r="L136" s="59"/>
      <c r="M136" s="59"/>
      <c r="N136" s="59"/>
      <c r="O136" s="7"/>
      <c r="P136" s="6"/>
      <c r="Q136" s="6"/>
      <c r="R136" s="6"/>
      <c r="S136" s="6"/>
      <c r="T136" s="6"/>
      <c r="U136" s="6"/>
      <c r="V136" s="6"/>
      <c r="W136" s="6"/>
      <c r="X136" s="6"/>
      <c r="Y136" s="6"/>
      <c r="Z136" s="6"/>
      <c r="AA136" s="6"/>
    </row>
    <row r="137" ht="15.75" customHeight="1">
      <c r="A137" s="59"/>
      <c r="B137" s="59"/>
      <c r="C137" s="59"/>
      <c r="D137" s="59"/>
      <c r="E137" s="59"/>
      <c r="F137" s="59"/>
      <c r="G137" s="59"/>
      <c r="H137" s="59"/>
      <c r="I137" s="59"/>
      <c r="J137" s="59"/>
      <c r="K137" s="59"/>
      <c r="L137" s="59"/>
      <c r="M137" s="59"/>
      <c r="N137" s="59"/>
      <c r="O137" s="7"/>
      <c r="P137" s="6"/>
      <c r="Q137" s="6"/>
      <c r="R137" s="6"/>
      <c r="S137" s="6"/>
      <c r="T137" s="6"/>
      <c r="U137" s="6"/>
      <c r="V137" s="6"/>
      <c r="W137" s="6"/>
      <c r="X137" s="6"/>
      <c r="Y137" s="6"/>
      <c r="Z137" s="6"/>
      <c r="AA137" s="6"/>
    </row>
    <row r="138" ht="15.75" customHeight="1">
      <c r="A138" s="59"/>
      <c r="B138" s="59"/>
      <c r="C138" s="59"/>
      <c r="D138" s="59"/>
      <c r="E138" s="59"/>
      <c r="F138" s="59"/>
      <c r="G138" s="59"/>
      <c r="H138" s="59"/>
      <c r="I138" s="59"/>
      <c r="J138" s="59"/>
      <c r="K138" s="59"/>
      <c r="L138" s="59"/>
      <c r="M138" s="59"/>
      <c r="N138" s="59"/>
      <c r="O138" s="7"/>
      <c r="P138" s="6"/>
      <c r="Q138" s="6"/>
      <c r="R138" s="6"/>
      <c r="S138" s="6"/>
      <c r="T138" s="6"/>
      <c r="U138" s="6"/>
      <c r="V138" s="6"/>
      <c r="W138" s="6"/>
      <c r="X138" s="6"/>
      <c r="Y138" s="6"/>
      <c r="Z138" s="6"/>
      <c r="AA138" s="6"/>
    </row>
    <row r="139" ht="15.75" customHeight="1">
      <c r="A139" s="59"/>
      <c r="B139" s="59"/>
      <c r="C139" s="59"/>
      <c r="D139" s="59"/>
      <c r="E139" s="59"/>
      <c r="F139" s="59"/>
      <c r="G139" s="59"/>
      <c r="H139" s="59"/>
      <c r="I139" s="59"/>
      <c r="J139" s="59"/>
      <c r="K139" s="59"/>
      <c r="L139" s="59"/>
      <c r="M139" s="59"/>
      <c r="N139" s="59"/>
      <c r="O139" s="7"/>
      <c r="P139" s="6"/>
      <c r="Q139" s="6"/>
      <c r="R139" s="6"/>
      <c r="S139" s="6"/>
      <c r="T139" s="6"/>
      <c r="U139" s="6"/>
      <c r="V139" s="6"/>
      <c r="W139" s="6"/>
      <c r="X139" s="6"/>
      <c r="Y139" s="6"/>
      <c r="Z139" s="6"/>
      <c r="AA139" s="6"/>
    </row>
    <row r="140" ht="15.75" customHeight="1">
      <c r="A140" s="59"/>
      <c r="B140" s="59"/>
      <c r="C140" s="59"/>
      <c r="D140" s="59"/>
      <c r="E140" s="59"/>
      <c r="F140" s="59"/>
      <c r="G140" s="59"/>
      <c r="H140" s="59"/>
      <c r="I140" s="59"/>
      <c r="J140" s="59"/>
      <c r="K140" s="59"/>
      <c r="L140" s="59"/>
      <c r="M140" s="59"/>
      <c r="N140" s="59"/>
      <c r="O140" s="7"/>
      <c r="P140" s="6"/>
      <c r="Q140" s="6"/>
      <c r="R140" s="6"/>
      <c r="S140" s="6"/>
      <c r="T140" s="6"/>
      <c r="U140" s="6"/>
      <c r="V140" s="6"/>
      <c r="W140" s="6"/>
      <c r="X140" s="6"/>
      <c r="Y140" s="6"/>
      <c r="Z140" s="6"/>
      <c r="AA140" s="6"/>
    </row>
    <row r="141" ht="15.75" customHeight="1">
      <c r="A141" s="59"/>
      <c r="B141" s="59"/>
      <c r="C141" s="59"/>
      <c r="D141" s="59"/>
      <c r="E141" s="59"/>
      <c r="F141" s="59"/>
      <c r="G141" s="59"/>
      <c r="H141" s="59"/>
      <c r="I141" s="59"/>
      <c r="J141" s="59"/>
      <c r="K141" s="59"/>
      <c r="L141" s="59"/>
      <c r="M141" s="59"/>
      <c r="N141" s="59"/>
      <c r="O141" s="7"/>
      <c r="P141" s="6"/>
      <c r="Q141" s="6"/>
      <c r="R141" s="6"/>
      <c r="S141" s="6"/>
      <c r="T141" s="6"/>
      <c r="U141" s="6"/>
      <c r="V141" s="6"/>
      <c r="W141" s="6"/>
      <c r="X141" s="6"/>
      <c r="Y141" s="6"/>
      <c r="Z141" s="6"/>
      <c r="AA141" s="6"/>
    </row>
    <row r="142" ht="15.75" customHeight="1">
      <c r="A142" s="59"/>
      <c r="B142" s="59"/>
      <c r="C142" s="59"/>
      <c r="D142" s="59"/>
      <c r="E142" s="59"/>
      <c r="F142" s="59"/>
      <c r="G142" s="59"/>
      <c r="H142" s="59"/>
      <c r="I142" s="59"/>
      <c r="J142" s="59"/>
      <c r="K142" s="59"/>
      <c r="L142" s="59"/>
      <c r="M142" s="59"/>
      <c r="N142" s="59"/>
      <c r="O142" s="7"/>
      <c r="P142" s="6"/>
      <c r="Q142" s="6"/>
      <c r="R142" s="6"/>
      <c r="S142" s="6"/>
      <c r="T142" s="6"/>
      <c r="U142" s="6"/>
      <c r="V142" s="6"/>
      <c r="W142" s="6"/>
      <c r="X142" s="6"/>
      <c r="Y142" s="6"/>
      <c r="Z142" s="6"/>
      <c r="AA142" s="6"/>
    </row>
    <row r="143" ht="15.75" customHeight="1">
      <c r="A143" s="59"/>
      <c r="B143" s="59"/>
      <c r="C143" s="59"/>
      <c r="D143" s="59"/>
      <c r="E143" s="59"/>
      <c r="F143" s="59"/>
      <c r="G143" s="59"/>
      <c r="H143" s="59"/>
      <c r="I143" s="59"/>
      <c r="J143" s="59"/>
      <c r="K143" s="59"/>
      <c r="L143" s="59"/>
      <c r="M143" s="59"/>
      <c r="N143" s="59"/>
      <c r="O143" s="7"/>
      <c r="P143" s="6"/>
      <c r="Q143" s="6"/>
      <c r="R143" s="6"/>
      <c r="S143" s="6"/>
      <c r="T143" s="6"/>
      <c r="U143" s="6"/>
      <c r="V143" s="6"/>
      <c r="W143" s="6"/>
      <c r="X143" s="6"/>
      <c r="Y143" s="6"/>
      <c r="Z143" s="6"/>
      <c r="AA143" s="6"/>
    </row>
    <row r="144" ht="15.75" customHeight="1">
      <c r="A144" s="59"/>
      <c r="B144" s="59"/>
      <c r="C144" s="59"/>
      <c r="D144" s="59"/>
      <c r="E144" s="59"/>
      <c r="F144" s="59"/>
      <c r="G144" s="59"/>
      <c r="H144" s="59"/>
      <c r="I144" s="59"/>
      <c r="J144" s="59"/>
      <c r="K144" s="59"/>
      <c r="L144" s="59"/>
      <c r="M144" s="59"/>
      <c r="N144" s="59"/>
      <c r="O144" s="7"/>
      <c r="P144" s="6"/>
      <c r="Q144" s="6"/>
      <c r="R144" s="6"/>
      <c r="S144" s="6"/>
      <c r="T144" s="6"/>
      <c r="U144" s="6"/>
      <c r="V144" s="6"/>
      <c r="W144" s="6"/>
      <c r="X144" s="6"/>
      <c r="Y144" s="6"/>
      <c r="Z144" s="6"/>
      <c r="AA144" s="6"/>
    </row>
    <row r="145" ht="15.75" customHeight="1">
      <c r="A145" s="59"/>
      <c r="B145" s="59"/>
      <c r="C145" s="59"/>
      <c r="D145" s="59"/>
      <c r="E145" s="59"/>
      <c r="F145" s="59"/>
      <c r="G145" s="59"/>
      <c r="H145" s="59"/>
      <c r="I145" s="59"/>
      <c r="J145" s="59"/>
      <c r="K145" s="59"/>
      <c r="L145" s="59"/>
      <c r="M145" s="59"/>
      <c r="N145" s="59"/>
      <c r="O145" s="7"/>
      <c r="P145" s="6"/>
      <c r="Q145" s="6"/>
      <c r="R145" s="6"/>
      <c r="S145" s="6"/>
      <c r="T145" s="6"/>
      <c r="U145" s="6"/>
      <c r="V145" s="6"/>
      <c r="W145" s="6"/>
      <c r="X145" s="6"/>
      <c r="Y145" s="6"/>
      <c r="Z145" s="6"/>
      <c r="AA145" s="6"/>
    </row>
    <row r="146" ht="15.75" customHeight="1">
      <c r="A146" s="59"/>
      <c r="B146" s="59"/>
      <c r="C146" s="59"/>
      <c r="D146" s="59"/>
      <c r="E146" s="59"/>
      <c r="F146" s="59"/>
      <c r="G146" s="59"/>
      <c r="H146" s="59"/>
      <c r="I146" s="59"/>
      <c r="J146" s="59"/>
      <c r="K146" s="59"/>
      <c r="L146" s="59"/>
      <c r="M146" s="59"/>
      <c r="N146" s="59"/>
      <c r="O146" s="7"/>
      <c r="P146" s="6"/>
      <c r="Q146" s="6"/>
      <c r="R146" s="6"/>
      <c r="S146" s="6"/>
      <c r="T146" s="6"/>
      <c r="U146" s="6"/>
      <c r="V146" s="6"/>
      <c r="W146" s="6"/>
      <c r="X146" s="6"/>
      <c r="Y146" s="6"/>
      <c r="Z146" s="6"/>
      <c r="AA146" s="6"/>
    </row>
    <row r="147" ht="15.75" customHeight="1">
      <c r="A147" s="59"/>
      <c r="B147" s="59"/>
      <c r="C147" s="59"/>
      <c r="D147" s="59"/>
      <c r="E147" s="59"/>
      <c r="F147" s="59"/>
      <c r="G147" s="59"/>
      <c r="H147" s="59"/>
      <c r="I147" s="59"/>
      <c r="J147" s="59"/>
      <c r="K147" s="59"/>
      <c r="L147" s="59"/>
      <c r="M147" s="59"/>
      <c r="N147" s="59"/>
      <c r="O147" s="7"/>
      <c r="P147" s="6"/>
      <c r="Q147" s="6"/>
      <c r="R147" s="6"/>
      <c r="S147" s="6"/>
      <c r="T147" s="6"/>
      <c r="U147" s="6"/>
      <c r="V147" s="6"/>
      <c r="W147" s="6"/>
      <c r="X147" s="6"/>
      <c r="Y147" s="6"/>
      <c r="Z147" s="6"/>
      <c r="AA147" s="6"/>
    </row>
    <row r="148" ht="15.75" customHeight="1">
      <c r="A148" s="59"/>
      <c r="B148" s="59"/>
      <c r="C148" s="59"/>
      <c r="D148" s="59"/>
      <c r="E148" s="59"/>
      <c r="F148" s="59"/>
      <c r="G148" s="59"/>
      <c r="H148" s="59"/>
      <c r="I148" s="59"/>
      <c r="J148" s="59"/>
      <c r="K148" s="59"/>
      <c r="L148" s="59"/>
      <c r="M148" s="59"/>
      <c r="N148" s="59"/>
      <c r="O148" s="7"/>
      <c r="P148" s="6"/>
      <c r="Q148" s="6"/>
      <c r="R148" s="6"/>
      <c r="S148" s="6"/>
      <c r="T148" s="6"/>
      <c r="U148" s="6"/>
      <c r="V148" s="6"/>
      <c r="W148" s="6"/>
      <c r="X148" s="6"/>
      <c r="Y148" s="6"/>
      <c r="Z148" s="6"/>
      <c r="AA148" s="6"/>
    </row>
    <row r="149" ht="15.75" customHeight="1">
      <c r="A149" s="59"/>
      <c r="B149" s="59"/>
      <c r="C149" s="59"/>
      <c r="D149" s="59"/>
      <c r="E149" s="59"/>
      <c r="F149" s="59"/>
      <c r="G149" s="59"/>
      <c r="H149" s="59"/>
      <c r="I149" s="59"/>
      <c r="J149" s="59"/>
      <c r="K149" s="59"/>
      <c r="L149" s="59"/>
      <c r="M149" s="59"/>
      <c r="N149" s="59"/>
      <c r="O149" s="7"/>
      <c r="P149" s="6"/>
      <c r="Q149" s="6"/>
      <c r="R149" s="6"/>
      <c r="S149" s="6"/>
      <c r="T149" s="6"/>
      <c r="U149" s="6"/>
      <c r="V149" s="6"/>
      <c r="W149" s="6"/>
      <c r="X149" s="6"/>
      <c r="Y149" s="6"/>
      <c r="Z149" s="6"/>
      <c r="AA149" s="6"/>
    </row>
    <row r="150" ht="15.75" customHeight="1">
      <c r="A150" s="59"/>
      <c r="B150" s="59"/>
      <c r="C150" s="59"/>
      <c r="D150" s="59"/>
      <c r="E150" s="59"/>
      <c r="F150" s="59"/>
      <c r="G150" s="59"/>
      <c r="H150" s="59"/>
      <c r="I150" s="59"/>
      <c r="J150" s="59"/>
      <c r="K150" s="59"/>
      <c r="L150" s="59"/>
      <c r="M150" s="59"/>
      <c r="N150" s="59"/>
      <c r="O150" s="7"/>
      <c r="P150" s="6"/>
      <c r="Q150" s="6"/>
      <c r="R150" s="6"/>
      <c r="S150" s="6"/>
      <c r="T150" s="6"/>
      <c r="U150" s="6"/>
      <c r="V150" s="6"/>
      <c r="W150" s="6"/>
      <c r="X150" s="6"/>
      <c r="Y150" s="6"/>
      <c r="Z150" s="6"/>
      <c r="AA150" s="6"/>
    </row>
    <row r="151" ht="15.75" customHeight="1">
      <c r="A151" s="59"/>
      <c r="B151" s="59"/>
      <c r="C151" s="59"/>
      <c r="D151" s="59"/>
      <c r="E151" s="59"/>
      <c r="F151" s="59"/>
      <c r="G151" s="59"/>
      <c r="H151" s="59"/>
      <c r="I151" s="59"/>
      <c r="J151" s="59"/>
      <c r="K151" s="59"/>
      <c r="L151" s="59"/>
      <c r="M151" s="59"/>
      <c r="N151" s="59"/>
      <c r="O151" s="7"/>
      <c r="P151" s="6"/>
      <c r="Q151" s="6"/>
      <c r="R151" s="6"/>
      <c r="S151" s="6"/>
      <c r="T151" s="6"/>
      <c r="U151" s="6"/>
      <c r="V151" s="6"/>
      <c r="W151" s="6"/>
      <c r="X151" s="6"/>
      <c r="Y151" s="6"/>
      <c r="Z151" s="6"/>
      <c r="AA151" s="6"/>
    </row>
    <row r="152" ht="15.75" customHeight="1">
      <c r="A152" s="59"/>
      <c r="B152" s="59"/>
      <c r="C152" s="59"/>
      <c r="D152" s="59"/>
      <c r="E152" s="59"/>
      <c r="F152" s="59"/>
      <c r="G152" s="59"/>
      <c r="H152" s="59"/>
      <c r="I152" s="59"/>
      <c r="J152" s="59"/>
      <c r="K152" s="59"/>
      <c r="L152" s="59"/>
      <c r="M152" s="59"/>
      <c r="N152" s="59"/>
      <c r="O152" s="7"/>
      <c r="P152" s="6"/>
      <c r="Q152" s="6"/>
      <c r="R152" s="6"/>
      <c r="S152" s="6"/>
      <c r="T152" s="6"/>
      <c r="U152" s="6"/>
      <c r="V152" s="6"/>
      <c r="W152" s="6"/>
      <c r="X152" s="6"/>
      <c r="Y152" s="6"/>
      <c r="Z152" s="6"/>
      <c r="AA152" s="6"/>
    </row>
    <row r="153" ht="15.75" customHeight="1">
      <c r="A153" s="59"/>
      <c r="B153" s="59"/>
      <c r="C153" s="59"/>
      <c r="D153" s="59"/>
      <c r="E153" s="59"/>
      <c r="F153" s="59"/>
      <c r="G153" s="59"/>
      <c r="H153" s="59"/>
      <c r="I153" s="59"/>
      <c r="J153" s="59"/>
      <c r="K153" s="59"/>
      <c r="L153" s="59"/>
      <c r="M153" s="59"/>
      <c r="N153" s="59"/>
      <c r="O153" s="7"/>
      <c r="P153" s="6"/>
      <c r="Q153" s="6"/>
      <c r="R153" s="6"/>
      <c r="S153" s="6"/>
      <c r="T153" s="6"/>
      <c r="U153" s="6"/>
      <c r="V153" s="6"/>
      <c r="W153" s="6"/>
      <c r="X153" s="6"/>
      <c r="Y153" s="6"/>
      <c r="Z153" s="6"/>
      <c r="AA153" s="6"/>
    </row>
    <row r="154" ht="15.75" customHeight="1">
      <c r="A154" s="59"/>
      <c r="B154" s="59"/>
      <c r="C154" s="59"/>
      <c r="D154" s="59"/>
      <c r="E154" s="59"/>
      <c r="F154" s="59"/>
      <c r="G154" s="59"/>
      <c r="H154" s="59"/>
      <c r="I154" s="59"/>
      <c r="J154" s="59"/>
      <c r="K154" s="59"/>
      <c r="L154" s="59"/>
      <c r="M154" s="59"/>
      <c r="N154" s="59"/>
      <c r="O154" s="7"/>
      <c r="P154" s="6"/>
      <c r="Q154" s="6"/>
      <c r="R154" s="6"/>
      <c r="S154" s="6"/>
      <c r="T154" s="6"/>
      <c r="U154" s="6"/>
      <c r="V154" s="6"/>
      <c r="W154" s="6"/>
      <c r="X154" s="6"/>
      <c r="Y154" s="6"/>
      <c r="Z154" s="6"/>
      <c r="AA154" s="6"/>
    </row>
    <row r="155" ht="15.75" customHeight="1">
      <c r="A155" s="59"/>
      <c r="B155" s="59"/>
      <c r="C155" s="59"/>
      <c r="D155" s="59"/>
      <c r="E155" s="59"/>
      <c r="F155" s="59"/>
      <c r="G155" s="59"/>
      <c r="H155" s="59"/>
      <c r="I155" s="59"/>
      <c r="J155" s="59"/>
      <c r="K155" s="59"/>
      <c r="L155" s="59"/>
      <c r="M155" s="59"/>
      <c r="N155" s="59"/>
      <c r="O155" s="7"/>
      <c r="P155" s="6"/>
      <c r="Q155" s="6"/>
      <c r="R155" s="6"/>
      <c r="S155" s="6"/>
      <c r="T155" s="6"/>
      <c r="U155" s="6"/>
      <c r="V155" s="6"/>
      <c r="W155" s="6"/>
      <c r="X155" s="6"/>
      <c r="Y155" s="6"/>
      <c r="Z155" s="6"/>
      <c r="AA155" s="6"/>
    </row>
    <row r="156" ht="15.75" customHeight="1">
      <c r="A156" s="59"/>
      <c r="B156" s="59"/>
      <c r="C156" s="59"/>
      <c r="D156" s="59"/>
      <c r="E156" s="59"/>
      <c r="F156" s="59"/>
      <c r="G156" s="59"/>
      <c r="H156" s="59"/>
      <c r="I156" s="59"/>
      <c r="J156" s="59"/>
      <c r="K156" s="59"/>
      <c r="L156" s="59"/>
      <c r="M156" s="59"/>
      <c r="N156" s="59"/>
      <c r="O156" s="7"/>
      <c r="P156" s="6"/>
      <c r="Q156" s="6"/>
      <c r="R156" s="6"/>
      <c r="S156" s="6"/>
      <c r="T156" s="6"/>
      <c r="U156" s="6"/>
      <c r="V156" s="6"/>
      <c r="W156" s="6"/>
      <c r="X156" s="6"/>
      <c r="Y156" s="6"/>
      <c r="Z156" s="6"/>
      <c r="AA156" s="6"/>
    </row>
    <row r="157" ht="15.75" customHeight="1">
      <c r="A157" s="59"/>
      <c r="B157" s="59"/>
      <c r="C157" s="59"/>
      <c r="D157" s="59"/>
      <c r="E157" s="59"/>
      <c r="F157" s="59"/>
      <c r="G157" s="59"/>
      <c r="H157" s="59"/>
      <c r="I157" s="59"/>
      <c r="J157" s="59"/>
      <c r="K157" s="59"/>
      <c r="L157" s="59"/>
      <c r="M157" s="59"/>
      <c r="N157" s="59"/>
      <c r="O157" s="7"/>
      <c r="P157" s="6"/>
      <c r="Q157" s="6"/>
      <c r="R157" s="6"/>
      <c r="S157" s="6"/>
      <c r="T157" s="6"/>
      <c r="U157" s="6"/>
      <c r="V157" s="6"/>
      <c r="W157" s="6"/>
      <c r="X157" s="6"/>
      <c r="Y157" s="6"/>
      <c r="Z157" s="6"/>
      <c r="AA157" s="6"/>
    </row>
    <row r="158" ht="15.75" customHeight="1">
      <c r="A158" s="59"/>
      <c r="B158" s="59"/>
      <c r="C158" s="59"/>
      <c r="D158" s="59"/>
      <c r="E158" s="59"/>
      <c r="F158" s="59"/>
      <c r="G158" s="59"/>
      <c r="H158" s="59"/>
      <c r="I158" s="59"/>
      <c r="J158" s="59"/>
      <c r="K158" s="59"/>
      <c r="L158" s="59"/>
      <c r="M158" s="59"/>
      <c r="N158" s="59"/>
      <c r="O158" s="7"/>
      <c r="P158" s="6"/>
      <c r="Q158" s="6"/>
      <c r="R158" s="6"/>
      <c r="S158" s="6"/>
      <c r="T158" s="6"/>
      <c r="U158" s="6"/>
      <c r="V158" s="6"/>
      <c r="W158" s="6"/>
      <c r="X158" s="6"/>
      <c r="Y158" s="6"/>
      <c r="Z158" s="6"/>
      <c r="AA158" s="6"/>
    </row>
    <row r="159" ht="15.75" customHeight="1">
      <c r="A159" s="59"/>
      <c r="B159" s="59"/>
      <c r="C159" s="59"/>
      <c r="D159" s="59"/>
      <c r="E159" s="59"/>
      <c r="F159" s="59"/>
      <c r="G159" s="59"/>
      <c r="H159" s="59"/>
      <c r="I159" s="59"/>
      <c r="J159" s="59"/>
      <c r="K159" s="59"/>
      <c r="L159" s="59"/>
      <c r="M159" s="59"/>
      <c r="N159" s="59"/>
      <c r="O159" s="7"/>
      <c r="P159" s="6"/>
      <c r="Q159" s="6"/>
      <c r="R159" s="6"/>
      <c r="S159" s="6"/>
      <c r="T159" s="6"/>
      <c r="U159" s="6"/>
      <c r="V159" s="6"/>
      <c r="W159" s="6"/>
      <c r="X159" s="6"/>
      <c r="Y159" s="6"/>
      <c r="Z159" s="6"/>
      <c r="AA159" s="6"/>
    </row>
    <row r="160" ht="15.75" customHeight="1">
      <c r="A160" s="59"/>
      <c r="B160" s="59"/>
      <c r="C160" s="59"/>
      <c r="D160" s="59"/>
      <c r="E160" s="59"/>
      <c r="F160" s="59"/>
      <c r="G160" s="59"/>
      <c r="H160" s="59"/>
      <c r="I160" s="59"/>
      <c r="J160" s="59"/>
      <c r="K160" s="59"/>
      <c r="L160" s="59"/>
      <c r="M160" s="59"/>
      <c r="N160" s="59"/>
      <c r="O160" s="7"/>
      <c r="P160" s="6"/>
      <c r="Q160" s="6"/>
      <c r="R160" s="6"/>
      <c r="S160" s="6"/>
      <c r="T160" s="6"/>
      <c r="U160" s="6"/>
      <c r="V160" s="6"/>
      <c r="W160" s="6"/>
      <c r="X160" s="6"/>
      <c r="Y160" s="6"/>
      <c r="Z160" s="6"/>
      <c r="AA160" s="6"/>
    </row>
    <row r="161" ht="15.75" customHeight="1">
      <c r="A161" s="59"/>
      <c r="B161" s="59"/>
      <c r="C161" s="59"/>
      <c r="D161" s="59"/>
      <c r="E161" s="59"/>
      <c r="F161" s="59"/>
      <c r="G161" s="59"/>
      <c r="H161" s="59"/>
      <c r="I161" s="59"/>
      <c r="J161" s="59"/>
      <c r="K161" s="59"/>
      <c r="L161" s="59"/>
      <c r="M161" s="59"/>
      <c r="N161" s="59"/>
      <c r="O161" s="7"/>
      <c r="P161" s="6"/>
      <c r="Q161" s="6"/>
      <c r="R161" s="6"/>
      <c r="S161" s="6"/>
      <c r="T161" s="6"/>
      <c r="U161" s="6"/>
      <c r="V161" s="6"/>
      <c r="W161" s="6"/>
      <c r="X161" s="6"/>
      <c r="Y161" s="6"/>
      <c r="Z161" s="6"/>
      <c r="AA161" s="6"/>
    </row>
    <row r="162" ht="15.75" customHeight="1">
      <c r="A162" s="59"/>
      <c r="B162" s="59"/>
      <c r="C162" s="59"/>
      <c r="D162" s="59"/>
      <c r="E162" s="59"/>
      <c r="F162" s="59"/>
      <c r="G162" s="59"/>
      <c r="H162" s="59"/>
      <c r="I162" s="59"/>
      <c r="J162" s="59"/>
      <c r="K162" s="59"/>
      <c r="L162" s="59"/>
      <c r="M162" s="59"/>
      <c r="N162" s="59"/>
      <c r="O162" s="7"/>
      <c r="P162" s="6"/>
      <c r="Q162" s="6"/>
      <c r="R162" s="6"/>
      <c r="S162" s="6"/>
      <c r="T162" s="6"/>
      <c r="U162" s="6"/>
      <c r="V162" s="6"/>
      <c r="W162" s="6"/>
      <c r="X162" s="6"/>
      <c r="Y162" s="6"/>
      <c r="Z162" s="6"/>
      <c r="AA162" s="6"/>
    </row>
    <row r="163" ht="15.75" customHeight="1">
      <c r="A163" s="59"/>
      <c r="B163" s="59"/>
      <c r="C163" s="59"/>
      <c r="D163" s="59"/>
      <c r="E163" s="59"/>
      <c r="F163" s="59"/>
      <c r="G163" s="59"/>
      <c r="H163" s="59"/>
      <c r="I163" s="59"/>
      <c r="J163" s="59"/>
      <c r="K163" s="59"/>
      <c r="L163" s="59"/>
      <c r="M163" s="59"/>
      <c r="N163" s="59"/>
      <c r="O163" s="7"/>
      <c r="P163" s="6"/>
      <c r="Q163" s="6"/>
      <c r="R163" s="6"/>
      <c r="S163" s="6"/>
      <c r="T163" s="6"/>
      <c r="U163" s="6"/>
      <c r="V163" s="6"/>
      <c r="W163" s="6"/>
      <c r="X163" s="6"/>
      <c r="Y163" s="6"/>
      <c r="Z163" s="6"/>
      <c r="AA163" s="6"/>
    </row>
    <row r="164" ht="15.75" customHeight="1">
      <c r="A164" s="59"/>
      <c r="B164" s="59"/>
      <c r="C164" s="59"/>
      <c r="D164" s="59"/>
      <c r="E164" s="59"/>
      <c r="F164" s="59"/>
      <c r="G164" s="59"/>
      <c r="H164" s="59"/>
      <c r="I164" s="59"/>
      <c r="J164" s="59"/>
      <c r="K164" s="59"/>
      <c r="L164" s="59"/>
      <c r="M164" s="59"/>
      <c r="N164" s="59"/>
      <c r="O164" s="7"/>
      <c r="P164" s="6"/>
      <c r="Q164" s="6"/>
      <c r="R164" s="6"/>
      <c r="S164" s="6"/>
      <c r="T164" s="6"/>
      <c r="U164" s="6"/>
      <c r="V164" s="6"/>
      <c r="W164" s="6"/>
      <c r="X164" s="6"/>
      <c r="Y164" s="6"/>
      <c r="Z164" s="6"/>
      <c r="AA164" s="6"/>
    </row>
    <row r="165" ht="15.75" customHeight="1">
      <c r="A165" s="59"/>
      <c r="B165" s="59"/>
      <c r="C165" s="59"/>
      <c r="D165" s="59"/>
      <c r="E165" s="59"/>
      <c r="F165" s="59"/>
      <c r="G165" s="59"/>
      <c r="H165" s="59"/>
      <c r="I165" s="59"/>
      <c r="J165" s="59"/>
      <c r="K165" s="59"/>
      <c r="L165" s="59"/>
      <c r="M165" s="59"/>
      <c r="N165" s="59"/>
      <c r="O165" s="7"/>
      <c r="P165" s="6"/>
      <c r="Q165" s="6"/>
      <c r="R165" s="6"/>
      <c r="S165" s="6"/>
      <c r="T165" s="6"/>
      <c r="U165" s="6"/>
      <c r="V165" s="6"/>
      <c r="W165" s="6"/>
      <c r="X165" s="6"/>
      <c r="Y165" s="6"/>
      <c r="Z165" s="6"/>
      <c r="AA165" s="6"/>
    </row>
    <row r="166" ht="15.75" customHeight="1">
      <c r="A166" s="59"/>
      <c r="B166" s="59"/>
      <c r="C166" s="59"/>
      <c r="D166" s="59"/>
      <c r="E166" s="59"/>
      <c r="F166" s="59"/>
      <c r="G166" s="59"/>
      <c r="H166" s="59"/>
      <c r="I166" s="59"/>
      <c r="J166" s="59"/>
      <c r="K166" s="59"/>
      <c r="L166" s="59"/>
      <c r="M166" s="59"/>
      <c r="N166" s="59"/>
      <c r="O166" s="7"/>
      <c r="P166" s="6"/>
      <c r="Q166" s="6"/>
      <c r="R166" s="6"/>
      <c r="S166" s="6"/>
      <c r="T166" s="6"/>
      <c r="U166" s="6"/>
      <c r="V166" s="6"/>
      <c r="W166" s="6"/>
      <c r="X166" s="6"/>
      <c r="Y166" s="6"/>
      <c r="Z166" s="6"/>
      <c r="AA166" s="6"/>
    </row>
    <row r="167" ht="15.75" customHeight="1">
      <c r="A167" s="59"/>
      <c r="B167" s="59"/>
      <c r="C167" s="59"/>
      <c r="D167" s="59"/>
      <c r="E167" s="59"/>
      <c r="F167" s="59"/>
      <c r="G167" s="59"/>
      <c r="H167" s="59"/>
      <c r="I167" s="59"/>
      <c r="J167" s="59"/>
      <c r="K167" s="59"/>
      <c r="L167" s="59"/>
      <c r="M167" s="59"/>
      <c r="N167" s="59"/>
      <c r="O167" s="7"/>
      <c r="P167" s="6"/>
      <c r="Q167" s="6"/>
      <c r="R167" s="6"/>
      <c r="S167" s="6"/>
      <c r="T167" s="6"/>
      <c r="U167" s="6"/>
      <c r="V167" s="6"/>
      <c r="W167" s="6"/>
      <c r="X167" s="6"/>
      <c r="Y167" s="6"/>
      <c r="Z167" s="6"/>
      <c r="AA167" s="6"/>
    </row>
    <row r="168" ht="15.75" customHeight="1">
      <c r="A168" s="59"/>
      <c r="B168" s="59"/>
      <c r="C168" s="59"/>
      <c r="D168" s="59"/>
      <c r="E168" s="59"/>
      <c r="F168" s="59"/>
      <c r="G168" s="59"/>
      <c r="H168" s="59"/>
      <c r="I168" s="59"/>
      <c r="J168" s="59"/>
      <c r="K168" s="59"/>
      <c r="L168" s="59"/>
      <c r="M168" s="59"/>
      <c r="N168" s="59"/>
      <c r="O168" s="7"/>
      <c r="P168" s="6"/>
      <c r="Q168" s="6"/>
      <c r="R168" s="6"/>
      <c r="S168" s="6"/>
      <c r="T168" s="6"/>
      <c r="U168" s="6"/>
      <c r="V168" s="6"/>
      <c r="W168" s="6"/>
      <c r="X168" s="6"/>
      <c r="Y168" s="6"/>
      <c r="Z168" s="6"/>
      <c r="AA168" s="6"/>
    </row>
    <row r="169" ht="15.75" customHeight="1">
      <c r="A169" s="59"/>
      <c r="B169" s="59"/>
      <c r="C169" s="59"/>
      <c r="D169" s="59"/>
      <c r="E169" s="59"/>
      <c r="F169" s="59"/>
      <c r="G169" s="59"/>
      <c r="H169" s="59"/>
      <c r="I169" s="59"/>
      <c r="J169" s="59"/>
      <c r="K169" s="59"/>
      <c r="L169" s="59"/>
      <c r="M169" s="59"/>
      <c r="N169" s="59"/>
      <c r="O169" s="7"/>
      <c r="P169" s="6"/>
      <c r="Q169" s="6"/>
      <c r="R169" s="6"/>
      <c r="S169" s="6"/>
      <c r="T169" s="6"/>
      <c r="U169" s="6"/>
      <c r="V169" s="6"/>
      <c r="W169" s="6"/>
      <c r="X169" s="6"/>
      <c r="Y169" s="6"/>
      <c r="Z169" s="6"/>
      <c r="AA169" s="6"/>
    </row>
    <row r="170" ht="15.75" customHeight="1">
      <c r="A170" s="59"/>
      <c r="B170" s="59"/>
      <c r="C170" s="59"/>
      <c r="D170" s="59"/>
      <c r="E170" s="59"/>
      <c r="F170" s="59"/>
      <c r="G170" s="59"/>
      <c r="H170" s="59"/>
      <c r="I170" s="59"/>
      <c r="J170" s="59"/>
      <c r="K170" s="59"/>
      <c r="L170" s="59"/>
      <c r="M170" s="59"/>
      <c r="N170" s="59"/>
      <c r="O170" s="7"/>
      <c r="P170" s="6"/>
      <c r="Q170" s="6"/>
      <c r="R170" s="6"/>
      <c r="S170" s="6"/>
      <c r="T170" s="6"/>
      <c r="U170" s="6"/>
      <c r="V170" s="6"/>
      <c r="W170" s="6"/>
      <c r="X170" s="6"/>
      <c r="Y170" s="6"/>
      <c r="Z170" s="6"/>
      <c r="AA170" s="6"/>
    </row>
    <row r="171" ht="15.75" customHeight="1">
      <c r="A171" s="59"/>
      <c r="B171" s="59"/>
      <c r="C171" s="59"/>
      <c r="D171" s="59"/>
      <c r="E171" s="59"/>
      <c r="F171" s="59"/>
      <c r="G171" s="59"/>
      <c r="H171" s="59"/>
      <c r="I171" s="59"/>
      <c r="J171" s="59"/>
      <c r="K171" s="59"/>
      <c r="L171" s="59"/>
      <c r="M171" s="59"/>
      <c r="N171" s="59"/>
      <c r="O171" s="7"/>
      <c r="P171" s="6"/>
      <c r="Q171" s="6"/>
      <c r="R171" s="6"/>
      <c r="S171" s="6"/>
      <c r="T171" s="6"/>
      <c r="U171" s="6"/>
      <c r="V171" s="6"/>
      <c r="W171" s="6"/>
      <c r="X171" s="6"/>
      <c r="Y171" s="6"/>
      <c r="Z171" s="6"/>
      <c r="AA171" s="6"/>
    </row>
    <row r="172" ht="15.75" customHeight="1">
      <c r="A172" s="59"/>
      <c r="B172" s="59"/>
      <c r="C172" s="59"/>
      <c r="D172" s="59"/>
      <c r="E172" s="59"/>
      <c r="F172" s="59"/>
      <c r="G172" s="59"/>
      <c r="H172" s="59"/>
      <c r="I172" s="59"/>
      <c r="J172" s="59"/>
      <c r="K172" s="59"/>
      <c r="L172" s="59"/>
      <c r="M172" s="59"/>
      <c r="N172" s="59"/>
      <c r="O172" s="7"/>
      <c r="P172" s="6"/>
      <c r="Q172" s="6"/>
      <c r="R172" s="6"/>
      <c r="S172" s="6"/>
      <c r="T172" s="6"/>
      <c r="U172" s="6"/>
      <c r="V172" s="6"/>
      <c r="W172" s="6"/>
      <c r="X172" s="6"/>
      <c r="Y172" s="6"/>
      <c r="Z172" s="6"/>
      <c r="AA172" s="6"/>
    </row>
    <row r="173" ht="15.75" customHeight="1">
      <c r="A173" s="59"/>
      <c r="B173" s="59"/>
      <c r="C173" s="59"/>
      <c r="D173" s="59"/>
      <c r="E173" s="59"/>
      <c r="F173" s="59"/>
      <c r="G173" s="59"/>
      <c r="H173" s="59"/>
      <c r="I173" s="59"/>
      <c r="J173" s="59"/>
      <c r="K173" s="59"/>
      <c r="L173" s="59"/>
      <c r="M173" s="59"/>
      <c r="N173" s="59"/>
      <c r="O173" s="7"/>
      <c r="P173" s="6"/>
      <c r="Q173" s="6"/>
      <c r="R173" s="6"/>
      <c r="S173" s="6"/>
      <c r="T173" s="6"/>
      <c r="U173" s="6"/>
      <c r="V173" s="6"/>
      <c r="W173" s="6"/>
      <c r="X173" s="6"/>
      <c r="Y173" s="6"/>
      <c r="Z173" s="6"/>
      <c r="AA173" s="6"/>
    </row>
    <row r="174" ht="15.75" customHeight="1">
      <c r="A174" s="59"/>
      <c r="B174" s="59"/>
      <c r="C174" s="59"/>
      <c r="D174" s="59"/>
      <c r="E174" s="59"/>
      <c r="F174" s="59"/>
      <c r="G174" s="59"/>
      <c r="H174" s="59"/>
      <c r="I174" s="59"/>
      <c r="J174" s="59"/>
      <c r="K174" s="59"/>
      <c r="L174" s="59"/>
      <c r="M174" s="59"/>
      <c r="N174" s="59"/>
      <c r="O174" s="7"/>
      <c r="P174" s="6"/>
      <c r="Q174" s="6"/>
      <c r="R174" s="6"/>
      <c r="S174" s="6"/>
      <c r="T174" s="6"/>
      <c r="U174" s="6"/>
      <c r="V174" s="6"/>
      <c r="W174" s="6"/>
      <c r="X174" s="6"/>
      <c r="Y174" s="6"/>
      <c r="Z174" s="6"/>
      <c r="AA174" s="6"/>
    </row>
    <row r="175" ht="15.75" customHeight="1">
      <c r="A175" s="59"/>
      <c r="B175" s="59"/>
      <c r="C175" s="59"/>
      <c r="D175" s="59"/>
      <c r="E175" s="59"/>
      <c r="F175" s="59"/>
      <c r="G175" s="59"/>
      <c r="H175" s="59"/>
      <c r="I175" s="59"/>
      <c r="J175" s="59"/>
      <c r="K175" s="59"/>
      <c r="L175" s="59"/>
      <c r="M175" s="59"/>
      <c r="N175" s="59"/>
      <c r="O175" s="7"/>
      <c r="P175" s="6"/>
      <c r="Q175" s="6"/>
      <c r="R175" s="6"/>
      <c r="S175" s="6"/>
      <c r="T175" s="6"/>
      <c r="U175" s="6"/>
      <c r="V175" s="6"/>
      <c r="W175" s="6"/>
      <c r="X175" s="6"/>
      <c r="Y175" s="6"/>
      <c r="Z175" s="6"/>
      <c r="AA175" s="6"/>
    </row>
    <row r="176" ht="15.75" customHeight="1">
      <c r="A176" s="59"/>
      <c r="B176" s="59"/>
      <c r="C176" s="59"/>
      <c r="D176" s="59"/>
      <c r="E176" s="59"/>
      <c r="F176" s="59"/>
      <c r="G176" s="59"/>
      <c r="H176" s="59"/>
      <c r="I176" s="59"/>
      <c r="J176" s="59"/>
      <c r="K176" s="59"/>
      <c r="L176" s="59"/>
      <c r="M176" s="59"/>
      <c r="N176" s="59"/>
      <c r="O176" s="7"/>
      <c r="P176" s="6"/>
      <c r="Q176" s="6"/>
      <c r="R176" s="6"/>
      <c r="S176" s="6"/>
      <c r="T176" s="6"/>
      <c r="U176" s="6"/>
      <c r="V176" s="6"/>
      <c r="W176" s="6"/>
      <c r="X176" s="6"/>
      <c r="Y176" s="6"/>
      <c r="Z176" s="6"/>
      <c r="AA176" s="6"/>
    </row>
    <row r="177" ht="15.75" customHeight="1">
      <c r="A177" s="59"/>
      <c r="B177" s="59"/>
      <c r="C177" s="59"/>
      <c r="D177" s="59"/>
      <c r="E177" s="59"/>
      <c r="F177" s="59"/>
      <c r="G177" s="59"/>
      <c r="H177" s="59"/>
      <c r="I177" s="59"/>
      <c r="J177" s="59"/>
      <c r="K177" s="59"/>
      <c r="L177" s="59"/>
      <c r="M177" s="59"/>
      <c r="N177" s="59"/>
      <c r="O177" s="7"/>
      <c r="P177" s="6"/>
      <c r="Q177" s="6"/>
      <c r="R177" s="6"/>
      <c r="S177" s="6"/>
      <c r="T177" s="6"/>
      <c r="U177" s="6"/>
      <c r="V177" s="6"/>
      <c r="W177" s="6"/>
      <c r="X177" s="6"/>
      <c r="Y177" s="6"/>
      <c r="Z177" s="6"/>
      <c r="AA177" s="6"/>
    </row>
    <row r="178" ht="15.75" customHeight="1">
      <c r="A178" s="59"/>
      <c r="B178" s="59"/>
      <c r="C178" s="59"/>
      <c r="D178" s="59"/>
      <c r="E178" s="59"/>
      <c r="F178" s="59"/>
      <c r="G178" s="59"/>
      <c r="H178" s="59"/>
      <c r="I178" s="59"/>
      <c r="J178" s="59"/>
      <c r="K178" s="59"/>
      <c r="L178" s="59"/>
      <c r="M178" s="59"/>
      <c r="N178" s="59"/>
      <c r="O178" s="7"/>
      <c r="P178" s="6"/>
      <c r="Q178" s="6"/>
      <c r="R178" s="6"/>
      <c r="S178" s="6"/>
      <c r="T178" s="6"/>
      <c r="U178" s="6"/>
      <c r="V178" s="6"/>
      <c r="W178" s="6"/>
      <c r="X178" s="6"/>
      <c r="Y178" s="6"/>
      <c r="Z178" s="6"/>
      <c r="AA178" s="6"/>
    </row>
    <row r="179" ht="15.75" customHeight="1">
      <c r="A179" s="59"/>
      <c r="B179" s="59"/>
      <c r="C179" s="59"/>
      <c r="D179" s="59"/>
      <c r="E179" s="59"/>
      <c r="F179" s="59"/>
      <c r="G179" s="59"/>
      <c r="H179" s="59"/>
      <c r="I179" s="59"/>
      <c r="J179" s="59"/>
      <c r="K179" s="59"/>
      <c r="L179" s="59"/>
      <c r="M179" s="59"/>
      <c r="N179" s="59"/>
      <c r="O179" s="7"/>
      <c r="P179" s="6"/>
      <c r="Q179" s="6"/>
      <c r="R179" s="6"/>
      <c r="S179" s="6"/>
      <c r="T179" s="6"/>
      <c r="U179" s="6"/>
      <c r="V179" s="6"/>
      <c r="W179" s="6"/>
      <c r="X179" s="6"/>
      <c r="Y179" s="6"/>
      <c r="Z179" s="6"/>
      <c r="AA179" s="6"/>
    </row>
    <row r="180" ht="15.75" customHeight="1">
      <c r="A180" s="59"/>
      <c r="B180" s="59"/>
      <c r="C180" s="59"/>
      <c r="D180" s="59"/>
      <c r="E180" s="59"/>
      <c r="F180" s="59"/>
      <c r="G180" s="59"/>
      <c r="H180" s="59"/>
      <c r="I180" s="59"/>
      <c r="J180" s="59"/>
      <c r="K180" s="59"/>
      <c r="L180" s="59"/>
      <c r="M180" s="59"/>
      <c r="N180" s="59"/>
      <c r="O180" s="7"/>
      <c r="P180" s="6"/>
      <c r="Q180" s="6"/>
      <c r="R180" s="6"/>
      <c r="S180" s="6"/>
      <c r="T180" s="6"/>
      <c r="U180" s="6"/>
      <c r="V180" s="6"/>
      <c r="W180" s="6"/>
      <c r="X180" s="6"/>
      <c r="Y180" s="6"/>
      <c r="Z180" s="6"/>
      <c r="AA180" s="6"/>
    </row>
    <row r="181" ht="15.75" customHeight="1">
      <c r="A181" s="59"/>
      <c r="B181" s="59"/>
      <c r="C181" s="59"/>
      <c r="D181" s="59"/>
      <c r="E181" s="59"/>
      <c r="F181" s="59"/>
      <c r="G181" s="59"/>
      <c r="H181" s="59"/>
      <c r="I181" s="59"/>
      <c r="J181" s="59"/>
      <c r="K181" s="59"/>
      <c r="L181" s="59"/>
      <c r="M181" s="59"/>
      <c r="N181" s="59"/>
      <c r="O181" s="7"/>
      <c r="P181" s="6"/>
      <c r="Q181" s="6"/>
      <c r="R181" s="6"/>
      <c r="S181" s="6"/>
      <c r="T181" s="6"/>
      <c r="U181" s="6"/>
      <c r="V181" s="6"/>
      <c r="W181" s="6"/>
      <c r="X181" s="6"/>
      <c r="Y181" s="6"/>
      <c r="Z181" s="6"/>
      <c r="AA181" s="6"/>
    </row>
    <row r="182" ht="15.75" customHeight="1">
      <c r="A182" s="59"/>
      <c r="B182" s="59"/>
      <c r="C182" s="59"/>
      <c r="D182" s="59"/>
      <c r="E182" s="59"/>
      <c r="F182" s="59"/>
      <c r="G182" s="59"/>
      <c r="H182" s="59"/>
      <c r="I182" s="59"/>
      <c r="J182" s="59"/>
      <c r="K182" s="59"/>
      <c r="L182" s="59"/>
      <c r="M182" s="59"/>
      <c r="N182" s="59"/>
      <c r="O182" s="7"/>
      <c r="P182" s="6"/>
      <c r="Q182" s="6"/>
      <c r="R182" s="6"/>
      <c r="S182" s="6"/>
      <c r="T182" s="6"/>
      <c r="U182" s="6"/>
      <c r="V182" s="6"/>
      <c r="W182" s="6"/>
      <c r="X182" s="6"/>
      <c r="Y182" s="6"/>
      <c r="Z182" s="6"/>
      <c r="AA182" s="6"/>
    </row>
    <row r="183" ht="15.75" customHeight="1">
      <c r="A183" s="59"/>
      <c r="B183" s="59"/>
      <c r="C183" s="59"/>
      <c r="D183" s="59"/>
      <c r="E183" s="59"/>
      <c r="F183" s="59"/>
      <c r="G183" s="59"/>
      <c r="H183" s="59"/>
      <c r="I183" s="59"/>
      <c r="J183" s="59"/>
      <c r="K183" s="59"/>
      <c r="L183" s="59"/>
      <c r="M183" s="59"/>
      <c r="N183" s="59"/>
      <c r="O183" s="7"/>
      <c r="P183" s="6"/>
      <c r="Q183" s="6"/>
      <c r="R183" s="6"/>
      <c r="S183" s="6"/>
      <c r="T183" s="6"/>
      <c r="U183" s="6"/>
      <c r="V183" s="6"/>
      <c r="W183" s="6"/>
      <c r="X183" s="6"/>
      <c r="Y183" s="6"/>
      <c r="Z183" s="6"/>
      <c r="AA183" s="6"/>
    </row>
    <row r="184" ht="15.75" customHeight="1">
      <c r="A184" s="59"/>
      <c r="B184" s="59"/>
      <c r="C184" s="59"/>
      <c r="D184" s="59"/>
      <c r="E184" s="59"/>
      <c r="F184" s="59"/>
      <c r="G184" s="59"/>
      <c r="H184" s="59"/>
      <c r="I184" s="59"/>
      <c r="J184" s="59"/>
      <c r="K184" s="59"/>
      <c r="L184" s="59"/>
      <c r="M184" s="59"/>
      <c r="N184" s="59"/>
      <c r="O184" s="7"/>
      <c r="P184" s="6"/>
      <c r="Q184" s="6"/>
      <c r="R184" s="6"/>
      <c r="S184" s="6"/>
      <c r="T184" s="6"/>
      <c r="U184" s="6"/>
      <c r="V184" s="6"/>
      <c r="W184" s="6"/>
      <c r="X184" s="6"/>
      <c r="Y184" s="6"/>
      <c r="Z184" s="6"/>
      <c r="AA184" s="6"/>
    </row>
    <row r="185" ht="15.75" customHeight="1">
      <c r="A185" s="59"/>
      <c r="B185" s="59"/>
      <c r="C185" s="59"/>
      <c r="D185" s="59"/>
      <c r="E185" s="59"/>
      <c r="F185" s="59"/>
      <c r="G185" s="59"/>
      <c r="H185" s="59"/>
      <c r="I185" s="59"/>
      <c r="J185" s="59"/>
      <c r="K185" s="59"/>
      <c r="L185" s="59"/>
      <c r="M185" s="59"/>
      <c r="N185" s="59"/>
      <c r="O185" s="7"/>
      <c r="P185" s="6"/>
      <c r="Q185" s="6"/>
      <c r="R185" s="6"/>
      <c r="S185" s="6"/>
      <c r="T185" s="6"/>
      <c r="U185" s="6"/>
      <c r="V185" s="6"/>
      <c r="W185" s="6"/>
      <c r="X185" s="6"/>
      <c r="Y185" s="6"/>
      <c r="Z185" s="6"/>
      <c r="AA185" s="6"/>
    </row>
    <row r="186" ht="15.75" customHeight="1">
      <c r="A186" s="59"/>
      <c r="B186" s="59"/>
      <c r="C186" s="59"/>
      <c r="D186" s="59"/>
      <c r="E186" s="59"/>
      <c r="F186" s="59"/>
      <c r="G186" s="59"/>
      <c r="H186" s="59"/>
      <c r="I186" s="59"/>
      <c r="J186" s="59"/>
      <c r="K186" s="59"/>
      <c r="L186" s="59"/>
      <c r="M186" s="59"/>
      <c r="N186" s="59"/>
      <c r="O186" s="7"/>
      <c r="P186" s="6"/>
      <c r="Q186" s="6"/>
      <c r="R186" s="6"/>
      <c r="S186" s="6"/>
      <c r="T186" s="6"/>
      <c r="U186" s="6"/>
      <c r="V186" s="6"/>
      <c r="W186" s="6"/>
      <c r="X186" s="6"/>
      <c r="Y186" s="6"/>
      <c r="Z186" s="6"/>
      <c r="AA186" s="6"/>
    </row>
    <row r="187" ht="15.75" customHeight="1">
      <c r="A187" s="59"/>
      <c r="B187" s="59"/>
      <c r="C187" s="59"/>
      <c r="D187" s="59"/>
      <c r="E187" s="59"/>
      <c r="F187" s="59"/>
      <c r="G187" s="59"/>
      <c r="H187" s="59"/>
      <c r="I187" s="59"/>
      <c r="J187" s="59"/>
      <c r="K187" s="59"/>
      <c r="L187" s="59"/>
      <c r="M187" s="59"/>
      <c r="N187" s="59"/>
      <c r="O187" s="7"/>
      <c r="P187" s="6"/>
      <c r="Q187" s="6"/>
      <c r="R187" s="6"/>
      <c r="S187" s="6"/>
      <c r="T187" s="6"/>
      <c r="U187" s="6"/>
      <c r="V187" s="6"/>
      <c r="W187" s="6"/>
      <c r="X187" s="6"/>
      <c r="Y187" s="6"/>
      <c r="Z187" s="6"/>
      <c r="AA187" s="6"/>
    </row>
    <row r="188" ht="15.75" customHeight="1">
      <c r="A188" s="59"/>
      <c r="B188" s="59"/>
      <c r="C188" s="59"/>
      <c r="D188" s="59"/>
      <c r="E188" s="59"/>
      <c r="F188" s="59"/>
      <c r="G188" s="59"/>
      <c r="H188" s="59"/>
      <c r="I188" s="59"/>
      <c r="J188" s="59"/>
      <c r="K188" s="59"/>
      <c r="L188" s="59"/>
      <c r="M188" s="59"/>
      <c r="N188" s="59"/>
      <c r="O188" s="7"/>
      <c r="P188" s="6"/>
      <c r="Q188" s="6"/>
      <c r="R188" s="6"/>
      <c r="S188" s="6"/>
      <c r="T188" s="6"/>
      <c r="U188" s="6"/>
      <c r="V188" s="6"/>
      <c r="W188" s="6"/>
      <c r="X188" s="6"/>
      <c r="Y188" s="6"/>
      <c r="Z188" s="6"/>
      <c r="AA188" s="6"/>
    </row>
    <row r="189" ht="15.75" customHeight="1">
      <c r="A189" s="59"/>
      <c r="B189" s="59"/>
      <c r="C189" s="59"/>
      <c r="D189" s="59"/>
      <c r="E189" s="59"/>
      <c r="F189" s="59"/>
      <c r="G189" s="59"/>
      <c r="H189" s="59"/>
      <c r="I189" s="59"/>
      <c r="J189" s="59"/>
      <c r="K189" s="59"/>
      <c r="L189" s="59"/>
      <c r="M189" s="59"/>
      <c r="N189" s="59"/>
      <c r="O189" s="7"/>
      <c r="P189" s="6"/>
      <c r="Q189" s="6"/>
      <c r="R189" s="6"/>
      <c r="S189" s="6"/>
      <c r="T189" s="6"/>
      <c r="U189" s="6"/>
      <c r="V189" s="6"/>
      <c r="W189" s="6"/>
      <c r="X189" s="6"/>
      <c r="Y189" s="6"/>
      <c r="Z189" s="6"/>
      <c r="AA189" s="6"/>
    </row>
    <row r="190" ht="15.75" customHeight="1">
      <c r="A190" s="59"/>
      <c r="B190" s="59"/>
      <c r="C190" s="59"/>
      <c r="D190" s="59"/>
      <c r="E190" s="59"/>
      <c r="F190" s="59"/>
      <c r="G190" s="59"/>
      <c r="H190" s="59"/>
      <c r="I190" s="59"/>
      <c r="J190" s="59"/>
      <c r="K190" s="59"/>
      <c r="L190" s="59"/>
      <c r="M190" s="59"/>
      <c r="N190" s="59"/>
      <c r="O190" s="7"/>
      <c r="P190" s="6"/>
      <c r="Q190" s="6"/>
      <c r="R190" s="6"/>
      <c r="S190" s="6"/>
      <c r="T190" s="6"/>
      <c r="U190" s="6"/>
      <c r="V190" s="6"/>
      <c r="W190" s="6"/>
      <c r="X190" s="6"/>
      <c r="Y190" s="6"/>
      <c r="Z190" s="6"/>
      <c r="AA190" s="6"/>
    </row>
    <row r="191" ht="15.75" customHeight="1">
      <c r="A191" s="59"/>
      <c r="B191" s="59"/>
      <c r="C191" s="59"/>
      <c r="D191" s="59"/>
      <c r="E191" s="59"/>
      <c r="F191" s="59"/>
      <c r="G191" s="59"/>
      <c r="H191" s="59"/>
      <c r="I191" s="59"/>
      <c r="J191" s="59"/>
      <c r="K191" s="59"/>
      <c r="L191" s="59"/>
      <c r="M191" s="59"/>
      <c r="N191" s="59"/>
      <c r="O191" s="7"/>
      <c r="P191" s="6"/>
      <c r="Q191" s="6"/>
      <c r="R191" s="6"/>
      <c r="S191" s="6"/>
      <c r="T191" s="6"/>
      <c r="U191" s="6"/>
      <c r="V191" s="6"/>
      <c r="W191" s="6"/>
      <c r="X191" s="6"/>
      <c r="Y191" s="6"/>
      <c r="Z191" s="6"/>
      <c r="AA191" s="6"/>
    </row>
    <row r="192" ht="15.75" customHeight="1">
      <c r="A192" s="59"/>
      <c r="B192" s="59"/>
      <c r="C192" s="59"/>
      <c r="D192" s="59"/>
      <c r="E192" s="59"/>
      <c r="F192" s="59"/>
      <c r="G192" s="59"/>
      <c r="H192" s="59"/>
      <c r="I192" s="59"/>
      <c r="J192" s="59"/>
      <c r="K192" s="59"/>
      <c r="L192" s="59"/>
      <c r="M192" s="59"/>
      <c r="N192" s="59"/>
      <c r="O192" s="7"/>
      <c r="P192" s="6"/>
      <c r="Q192" s="6"/>
      <c r="R192" s="6"/>
      <c r="S192" s="6"/>
      <c r="T192" s="6"/>
      <c r="U192" s="6"/>
      <c r="V192" s="6"/>
      <c r="W192" s="6"/>
      <c r="X192" s="6"/>
      <c r="Y192" s="6"/>
      <c r="Z192" s="6"/>
      <c r="AA192" s="6"/>
    </row>
    <row r="193" ht="15.75" customHeight="1">
      <c r="A193" s="59"/>
      <c r="B193" s="59"/>
      <c r="C193" s="59"/>
      <c r="D193" s="59"/>
      <c r="E193" s="59"/>
      <c r="F193" s="59"/>
      <c r="G193" s="59"/>
      <c r="H193" s="59"/>
      <c r="I193" s="59"/>
      <c r="J193" s="59"/>
      <c r="K193" s="59"/>
      <c r="L193" s="59"/>
      <c r="M193" s="59"/>
      <c r="N193" s="59"/>
      <c r="O193" s="7"/>
      <c r="P193" s="6"/>
      <c r="Q193" s="6"/>
      <c r="R193" s="6"/>
      <c r="S193" s="6"/>
      <c r="T193" s="6"/>
      <c r="U193" s="6"/>
      <c r="V193" s="6"/>
      <c r="W193" s="6"/>
      <c r="X193" s="6"/>
      <c r="Y193" s="6"/>
      <c r="Z193" s="6"/>
      <c r="AA193" s="6"/>
    </row>
    <row r="194" ht="15.75" customHeight="1">
      <c r="A194" s="59"/>
      <c r="B194" s="59"/>
      <c r="C194" s="59"/>
      <c r="D194" s="59"/>
      <c r="E194" s="59"/>
      <c r="F194" s="59"/>
      <c r="G194" s="59"/>
      <c r="H194" s="59"/>
      <c r="I194" s="59"/>
      <c r="J194" s="59"/>
      <c r="K194" s="59"/>
      <c r="L194" s="59"/>
      <c r="M194" s="59"/>
      <c r="N194" s="59"/>
      <c r="O194" s="7"/>
      <c r="P194" s="6"/>
      <c r="Q194" s="6"/>
      <c r="R194" s="6"/>
      <c r="S194" s="6"/>
      <c r="T194" s="6"/>
      <c r="U194" s="6"/>
      <c r="V194" s="6"/>
      <c r="W194" s="6"/>
      <c r="X194" s="6"/>
      <c r="Y194" s="6"/>
      <c r="Z194" s="6"/>
      <c r="AA194" s="6"/>
    </row>
    <row r="195" ht="15.75" customHeight="1">
      <c r="A195" s="59"/>
      <c r="B195" s="59"/>
      <c r="C195" s="59"/>
      <c r="D195" s="59"/>
      <c r="E195" s="59"/>
      <c r="F195" s="59"/>
      <c r="G195" s="59"/>
      <c r="H195" s="59"/>
      <c r="I195" s="59"/>
      <c r="J195" s="59"/>
      <c r="K195" s="59"/>
      <c r="L195" s="59"/>
      <c r="M195" s="59"/>
      <c r="N195" s="59"/>
      <c r="O195" s="7"/>
      <c r="P195" s="6"/>
      <c r="Q195" s="6"/>
      <c r="R195" s="6"/>
      <c r="S195" s="6"/>
      <c r="T195" s="6"/>
      <c r="U195" s="6"/>
      <c r="V195" s="6"/>
      <c r="W195" s="6"/>
      <c r="X195" s="6"/>
      <c r="Y195" s="6"/>
      <c r="Z195" s="6"/>
      <c r="AA195" s="6"/>
    </row>
    <row r="196" ht="15.75" customHeight="1">
      <c r="A196" s="59"/>
      <c r="B196" s="59"/>
      <c r="C196" s="59"/>
      <c r="D196" s="59"/>
      <c r="E196" s="59"/>
      <c r="F196" s="59"/>
      <c r="G196" s="59"/>
      <c r="H196" s="59"/>
      <c r="I196" s="59"/>
      <c r="J196" s="59"/>
      <c r="K196" s="59"/>
      <c r="L196" s="59"/>
      <c r="M196" s="59"/>
      <c r="N196" s="59"/>
      <c r="O196" s="7"/>
      <c r="P196" s="6"/>
      <c r="Q196" s="6"/>
      <c r="R196" s="6"/>
      <c r="S196" s="6"/>
      <c r="T196" s="6"/>
      <c r="U196" s="6"/>
      <c r="V196" s="6"/>
      <c r="W196" s="6"/>
      <c r="X196" s="6"/>
      <c r="Y196" s="6"/>
      <c r="Z196" s="6"/>
      <c r="AA196" s="6"/>
    </row>
    <row r="197" ht="15.75" customHeight="1">
      <c r="A197" s="59"/>
      <c r="B197" s="59"/>
      <c r="C197" s="59"/>
      <c r="D197" s="59"/>
      <c r="E197" s="59"/>
      <c r="F197" s="59"/>
      <c r="G197" s="59"/>
      <c r="H197" s="59"/>
      <c r="I197" s="59"/>
      <c r="J197" s="59"/>
      <c r="K197" s="59"/>
      <c r="L197" s="59"/>
      <c r="M197" s="59"/>
      <c r="N197" s="59"/>
      <c r="O197" s="7"/>
      <c r="P197" s="6"/>
      <c r="Q197" s="6"/>
      <c r="R197" s="6"/>
      <c r="S197" s="6"/>
      <c r="T197" s="6"/>
      <c r="U197" s="6"/>
      <c r="V197" s="6"/>
      <c r="W197" s="6"/>
      <c r="X197" s="6"/>
      <c r="Y197" s="6"/>
      <c r="Z197" s="6"/>
      <c r="AA197" s="6"/>
    </row>
    <row r="198" ht="15.75" customHeight="1">
      <c r="A198" s="59"/>
      <c r="B198" s="59"/>
      <c r="C198" s="59"/>
      <c r="D198" s="59"/>
      <c r="E198" s="59"/>
      <c r="F198" s="59"/>
      <c r="G198" s="59"/>
      <c r="H198" s="59"/>
      <c r="I198" s="59"/>
      <c r="J198" s="59"/>
      <c r="K198" s="59"/>
      <c r="L198" s="59"/>
      <c r="M198" s="59"/>
      <c r="N198" s="59"/>
      <c r="O198" s="7"/>
      <c r="P198" s="6"/>
      <c r="Q198" s="6"/>
      <c r="R198" s="6"/>
      <c r="S198" s="6"/>
      <c r="T198" s="6"/>
      <c r="U198" s="6"/>
      <c r="V198" s="6"/>
      <c r="W198" s="6"/>
      <c r="X198" s="6"/>
      <c r="Y198" s="6"/>
      <c r="Z198" s="6"/>
      <c r="AA198" s="6"/>
    </row>
    <row r="199" ht="15.75" customHeight="1">
      <c r="A199" s="59"/>
      <c r="B199" s="59"/>
      <c r="C199" s="59"/>
      <c r="D199" s="59"/>
      <c r="E199" s="59"/>
      <c r="F199" s="59"/>
      <c r="G199" s="59"/>
      <c r="H199" s="59"/>
      <c r="I199" s="59"/>
      <c r="J199" s="59"/>
      <c r="K199" s="59"/>
      <c r="L199" s="59"/>
      <c r="M199" s="59"/>
      <c r="N199" s="59"/>
      <c r="O199" s="7"/>
      <c r="P199" s="6"/>
      <c r="Q199" s="6"/>
      <c r="R199" s="6"/>
      <c r="S199" s="6"/>
      <c r="T199" s="6"/>
      <c r="U199" s="6"/>
      <c r="V199" s="6"/>
      <c r="W199" s="6"/>
      <c r="X199" s="6"/>
      <c r="Y199" s="6"/>
      <c r="Z199" s="6"/>
      <c r="AA199" s="6"/>
    </row>
    <row r="200" ht="15.75" customHeight="1">
      <c r="A200" s="59"/>
      <c r="B200" s="59"/>
      <c r="C200" s="59"/>
      <c r="D200" s="59"/>
      <c r="E200" s="59"/>
      <c r="F200" s="59"/>
      <c r="G200" s="59"/>
      <c r="H200" s="59"/>
      <c r="I200" s="59"/>
      <c r="J200" s="59"/>
      <c r="K200" s="59"/>
      <c r="L200" s="59"/>
      <c r="M200" s="59"/>
      <c r="N200" s="59"/>
      <c r="O200" s="7"/>
      <c r="P200" s="6"/>
      <c r="Q200" s="6"/>
      <c r="R200" s="6"/>
      <c r="S200" s="6"/>
      <c r="T200" s="6"/>
      <c r="U200" s="6"/>
      <c r="V200" s="6"/>
      <c r="W200" s="6"/>
      <c r="X200" s="6"/>
      <c r="Y200" s="6"/>
      <c r="Z200" s="6"/>
      <c r="AA200" s="6"/>
    </row>
    <row r="201" ht="15.75" customHeight="1">
      <c r="A201" s="59"/>
      <c r="B201" s="59"/>
      <c r="C201" s="59"/>
      <c r="D201" s="59"/>
      <c r="E201" s="59"/>
      <c r="F201" s="59"/>
      <c r="G201" s="59"/>
      <c r="H201" s="59"/>
      <c r="I201" s="59"/>
      <c r="J201" s="59"/>
      <c r="K201" s="59"/>
      <c r="L201" s="59"/>
      <c r="M201" s="59"/>
      <c r="N201" s="59"/>
      <c r="O201" s="7"/>
      <c r="P201" s="6"/>
      <c r="Q201" s="6"/>
      <c r="R201" s="6"/>
      <c r="S201" s="6"/>
      <c r="T201" s="6"/>
      <c r="U201" s="6"/>
      <c r="V201" s="6"/>
      <c r="W201" s="6"/>
      <c r="X201" s="6"/>
      <c r="Y201" s="6"/>
      <c r="Z201" s="6"/>
      <c r="AA201" s="6"/>
    </row>
    <row r="202" ht="15.75" customHeight="1">
      <c r="A202" s="59"/>
      <c r="B202" s="59"/>
      <c r="C202" s="59"/>
      <c r="D202" s="59"/>
      <c r="E202" s="59"/>
      <c r="F202" s="59"/>
      <c r="G202" s="59"/>
      <c r="H202" s="59"/>
      <c r="I202" s="59"/>
      <c r="J202" s="59"/>
      <c r="K202" s="59"/>
      <c r="L202" s="59"/>
      <c r="M202" s="59"/>
      <c r="N202" s="59"/>
      <c r="O202" s="7"/>
      <c r="P202" s="6"/>
      <c r="Q202" s="6"/>
      <c r="R202" s="6"/>
      <c r="S202" s="6"/>
      <c r="T202" s="6"/>
      <c r="U202" s="6"/>
      <c r="V202" s="6"/>
      <c r="W202" s="6"/>
      <c r="X202" s="6"/>
      <c r="Y202" s="6"/>
      <c r="Z202" s="6"/>
      <c r="AA202" s="6"/>
    </row>
    <row r="203" ht="15.75" customHeight="1">
      <c r="A203" s="59"/>
      <c r="B203" s="59"/>
      <c r="C203" s="59"/>
      <c r="D203" s="59"/>
      <c r="E203" s="59"/>
      <c r="F203" s="59"/>
      <c r="G203" s="59"/>
      <c r="H203" s="59"/>
      <c r="I203" s="59"/>
      <c r="J203" s="59"/>
      <c r="K203" s="59"/>
      <c r="L203" s="59"/>
      <c r="M203" s="59"/>
      <c r="N203" s="59"/>
      <c r="O203" s="7"/>
      <c r="P203" s="6"/>
      <c r="Q203" s="6"/>
      <c r="R203" s="6"/>
      <c r="S203" s="6"/>
      <c r="T203" s="6"/>
      <c r="U203" s="6"/>
      <c r="V203" s="6"/>
      <c r="W203" s="6"/>
      <c r="X203" s="6"/>
      <c r="Y203" s="6"/>
      <c r="Z203" s="6"/>
      <c r="AA203" s="6"/>
    </row>
    <row r="204" ht="15.75" customHeight="1">
      <c r="A204" s="59"/>
      <c r="B204" s="59"/>
      <c r="C204" s="59"/>
      <c r="D204" s="59"/>
      <c r="E204" s="59"/>
      <c r="F204" s="59"/>
      <c r="G204" s="59"/>
      <c r="H204" s="59"/>
      <c r="I204" s="59"/>
      <c r="J204" s="59"/>
      <c r="K204" s="59"/>
      <c r="L204" s="59"/>
      <c r="M204" s="59"/>
      <c r="N204" s="59"/>
      <c r="O204" s="7"/>
      <c r="P204" s="6"/>
      <c r="Q204" s="6"/>
      <c r="R204" s="6"/>
      <c r="S204" s="6"/>
      <c r="T204" s="6"/>
      <c r="U204" s="6"/>
      <c r="V204" s="6"/>
      <c r="W204" s="6"/>
      <c r="X204" s="6"/>
      <c r="Y204" s="6"/>
      <c r="Z204" s="6"/>
      <c r="AA204" s="6"/>
    </row>
    <row r="205" ht="15.75" customHeight="1">
      <c r="A205" s="59"/>
      <c r="B205" s="59"/>
      <c r="C205" s="59"/>
      <c r="D205" s="59"/>
      <c r="E205" s="59"/>
      <c r="F205" s="59"/>
      <c r="G205" s="59"/>
      <c r="H205" s="59"/>
      <c r="I205" s="59"/>
      <c r="J205" s="59"/>
      <c r="K205" s="59"/>
      <c r="L205" s="59"/>
      <c r="M205" s="59"/>
      <c r="N205" s="59"/>
      <c r="O205" s="7"/>
      <c r="P205" s="6"/>
      <c r="Q205" s="6"/>
      <c r="R205" s="6"/>
      <c r="S205" s="6"/>
      <c r="T205" s="6"/>
      <c r="U205" s="6"/>
      <c r="V205" s="6"/>
      <c r="W205" s="6"/>
      <c r="X205" s="6"/>
      <c r="Y205" s="6"/>
      <c r="Z205" s="6"/>
      <c r="AA205" s="6"/>
    </row>
    <row r="206" ht="15.75" customHeight="1">
      <c r="A206" s="59"/>
      <c r="B206" s="59"/>
      <c r="C206" s="59"/>
      <c r="D206" s="59"/>
      <c r="E206" s="59"/>
      <c r="F206" s="59"/>
      <c r="G206" s="59"/>
      <c r="H206" s="59"/>
      <c r="I206" s="59"/>
      <c r="J206" s="59"/>
      <c r="K206" s="59"/>
      <c r="L206" s="59"/>
      <c r="M206" s="59"/>
      <c r="N206" s="59"/>
      <c r="O206" s="7"/>
      <c r="P206" s="6"/>
      <c r="Q206" s="6"/>
      <c r="R206" s="6"/>
      <c r="S206" s="6"/>
      <c r="T206" s="6"/>
      <c r="U206" s="6"/>
      <c r="V206" s="6"/>
      <c r="W206" s="6"/>
      <c r="X206" s="6"/>
      <c r="Y206" s="6"/>
      <c r="Z206" s="6"/>
      <c r="AA206" s="6"/>
    </row>
    <row r="207" ht="15.75" customHeight="1">
      <c r="A207" s="59"/>
      <c r="B207" s="59"/>
      <c r="C207" s="59"/>
      <c r="D207" s="59"/>
      <c r="E207" s="59"/>
      <c r="F207" s="59"/>
      <c r="G207" s="59"/>
      <c r="H207" s="59"/>
      <c r="I207" s="59"/>
      <c r="J207" s="59"/>
      <c r="K207" s="59"/>
      <c r="L207" s="59"/>
      <c r="M207" s="59"/>
      <c r="N207" s="59"/>
      <c r="O207" s="7"/>
      <c r="P207" s="6"/>
      <c r="Q207" s="6"/>
      <c r="R207" s="6"/>
      <c r="S207" s="6"/>
      <c r="T207" s="6"/>
      <c r="U207" s="6"/>
      <c r="V207" s="6"/>
      <c r="W207" s="6"/>
      <c r="X207" s="6"/>
      <c r="Y207" s="6"/>
      <c r="Z207" s="6"/>
      <c r="AA207" s="6"/>
    </row>
    <row r="208" ht="15.75" customHeight="1">
      <c r="A208" s="59"/>
      <c r="B208" s="59"/>
      <c r="C208" s="59"/>
      <c r="D208" s="59"/>
      <c r="E208" s="59"/>
      <c r="F208" s="59"/>
      <c r="G208" s="59"/>
      <c r="H208" s="59"/>
      <c r="I208" s="59"/>
      <c r="J208" s="59"/>
      <c r="K208" s="59"/>
      <c r="L208" s="59"/>
      <c r="M208" s="59"/>
      <c r="N208" s="59"/>
      <c r="O208" s="7"/>
      <c r="P208" s="6"/>
      <c r="Q208" s="6"/>
      <c r="R208" s="6"/>
      <c r="S208" s="6"/>
      <c r="T208" s="6"/>
      <c r="U208" s="6"/>
      <c r="V208" s="6"/>
      <c r="W208" s="6"/>
      <c r="X208" s="6"/>
      <c r="Y208" s="6"/>
      <c r="Z208" s="6"/>
      <c r="AA208" s="6"/>
    </row>
    <row r="209" ht="15.75" customHeight="1">
      <c r="A209" s="59"/>
      <c r="B209" s="59"/>
      <c r="C209" s="59"/>
      <c r="D209" s="59"/>
      <c r="E209" s="59"/>
      <c r="F209" s="59"/>
      <c r="G209" s="59"/>
      <c r="H209" s="59"/>
      <c r="I209" s="59"/>
      <c r="J209" s="59"/>
      <c r="K209" s="59"/>
      <c r="L209" s="59"/>
      <c r="M209" s="59"/>
      <c r="N209" s="59"/>
      <c r="O209" s="7"/>
      <c r="P209" s="6"/>
      <c r="Q209" s="6"/>
      <c r="R209" s="6"/>
      <c r="S209" s="6"/>
      <c r="T209" s="6"/>
      <c r="U209" s="6"/>
      <c r="V209" s="6"/>
      <c r="W209" s="6"/>
      <c r="X209" s="6"/>
      <c r="Y209" s="6"/>
      <c r="Z209" s="6"/>
      <c r="AA209" s="6"/>
    </row>
    <row r="210" ht="15.75" customHeight="1">
      <c r="A210" s="59"/>
      <c r="B210" s="59"/>
      <c r="C210" s="59"/>
      <c r="D210" s="59"/>
      <c r="E210" s="59"/>
      <c r="F210" s="59"/>
      <c r="G210" s="59"/>
      <c r="H210" s="59"/>
      <c r="I210" s="59"/>
      <c r="J210" s="59"/>
      <c r="K210" s="59"/>
      <c r="L210" s="59"/>
      <c r="M210" s="59"/>
      <c r="N210" s="59"/>
      <c r="O210" s="7"/>
      <c r="P210" s="6"/>
      <c r="Q210" s="6"/>
      <c r="R210" s="6"/>
      <c r="S210" s="6"/>
      <c r="T210" s="6"/>
      <c r="U210" s="6"/>
      <c r="V210" s="6"/>
      <c r="W210" s="6"/>
      <c r="X210" s="6"/>
      <c r="Y210" s="6"/>
      <c r="Z210" s="6"/>
      <c r="AA210" s="6"/>
    </row>
    <row r="211" ht="15.75" customHeight="1">
      <c r="A211" s="59"/>
      <c r="B211" s="59"/>
      <c r="C211" s="59"/>
      <c r="D211" s="59"/>
      <c r="E211" s="59"/>
      <c r="F211" s="59"/>
      <c r="G211" s="59"/>
      <c r="H211" s="59"/>
      <c r="I211" s="59"/>
      <c r="J211" s="59"/>
      <c r="K211" s="59"/>
      <c r="L211" s="59"/>
      <c r="M211" s="59"/>
      <c r="N211" s="59"/>
      <c r="O211" s="7"/>
      <c r="P211" s="6"/>
      <c r="Q211" s="6"/>
      <c r="R211" s="6"/>
      <c r="S211" s="6"/>
      <c r="T211" s="6"/>
      <c r="U211" s="6"/>
      <c r="V211" s="6"/>
      <c r="W211" s="6"/>
      <c r="X211" s="6"/>
      <c r="Y211" s="6"/>
      <c r="Z211" s="6"/>
      <c r="AA211" s="6"/>
    </row>
    <row r="212" ht="15.75" customHeight="1">
      <c r="A212" s="59"/>
      <c r="B212" s="59"/>
      <c r="C212" s="59"/>
      <c r="D212" s="59"/>
      <c r="E212" s="59"/>
      <c r="F212" s="59"/>
      <c r="G212" s="59"/>
      <c r="H212" s="59"/>
      <c r="I212" s="59"/>
      <c r="J212" s="59"/>
      <c r="K212" s="59"/>
      <c r="L212" s="59"/>
      <c r="M212" s="59"/>
      <c r="N212" s="59"/>
      <c r="O212" s="7"/>
      <c r="P212" s="6"/>
      <c r="Q212" s="6"/>
      <c r="R212" s="6"/>
      <c r="S212" s="6"/>
      <c r="T212" s="6"/>
      <c r="U212" s="6"/>
      <c r="V212" s="6"/>
      <c r="W212" s="6"/>
      <c r="X212" s="6"/>
      <c r="Y212" s="6"/>
      <c r="Z212" s="6"/>
      <c r="AA212" s="6"/>
    </row>
    <row r="213" ht="15.75" customHeight="1">
      <c r="A213" s="59"/>
      <c r="B213" s="59"/>
      <c r="C213" s="59"/>
      <c r="D213" s="59"/>
      <c r="E213" s="59"/>
      <c r="F213" s="59"/>
      <c r="G213" s="59"/>
      <c r="H213" s="59"/>
      <c r="I213" s="59"/>
      <c r="J213" s="59"/>
      <c r="K213" s="59"/>
      <c r="L213" s="59"/>
      <c r="M213" s="59"/>
      <c r="N213" s="59"/>
      <c r="O213" s="7"/>
      <c r="P213" s="6"/>
      <c r="Q213" s="6"/>
      <c r="R213" s="6"/>
      <c r="S213" s="6"/>
      <c r="T213" s="6"/>
      <c r="U213" s="6"/>
      <c r="V213" s="6"/>
      <c r="W213" s="6"/>
      <c r="X213" s="6"/>
      <c r="Y213" s="6"/>
      <c r="Z213" s="6"/>
      <c r="AA213" s="6"/>
    </row>
    <row r="214" ht="15.75" customHeight="1">
      <c r="A214" s="59"/>
      <c r="B214" s="59"/>
      <c r="C214" s="59"/>
      <c r="D214" s="59"/>
      <c r="E214" s="59"/>
      <c r="F214" s="59"/>
      <c r="G214" s="59"/>
      <c r="H214" s="59"/>
      <c r="I214" s="59"/>
      <c r="J214" s="59"/>
      <c r="K214" s="59"/>
      <c r="L214" s="59"/>
      <c r="M214" s="59"/>
      <c r="N214" s="59"/>
      <c r="O214" s="7"/>
      <c r="P214" s="6"/>
      <c r="Q214" s="6"/>
      <c r="R214" s="6"/>
      <c r="S214" s="6"/>
      <c r="T214" s="6"/>
      <c r="U214" s="6"/>
      <c r="V214" s="6"/>
      <c r="W214" s="6"/>
      <c r="X214" s="6"/>
      <c r="Y214" s="6"/>
      <c r="Z214" s="6"/>
      <c r="AA214" s="6"/>
    </row>
    <row r="215" ht="15.75" customHeight="1">
      <c r="A215" s="59"/>
      <c r="B215" s="59"/>
      <c r="C215" s="59"/>
      <c r="D215" s="59"/>
      <c r="E215" s="59"/>
      <c r="F215" s="59"/>
      <c r="G215" s="59"/>
      <c r="H215" s="59"/>
      <c r="I215" s="59"/>
      <c r="J215" s="59"/>
      <c r="K215" s="59"/>
      <c r="L215" s="59"/>
      <c r="M215" s="59"/>
      <c r="N215" s="59"/>
      <c r="O215" s="7"/>
      <c r="P215" s="6"/>
      <c r="Q215" s="6"/>
      <c r="R215" s="6"/>
      <c r="S215" s="6"/>
      <c r="T215" s="6"/>
      <c r="U215" s="6"/>
      <c r="V215" s="6"/>
      <c r="W215" s="6"/>
      <c r="X215" s="6"/>
      <c r="Y215" s="6"/>
      <c r="Z215" s="6"/>
      <c r="AA215" s="6"/>
    </row>
    <row r="216" ht="15.75" customHeight="1">
      <c r="A216" s="59"/>
      <c r="B216" s="59"/>
      <c r="C216" s="59"/>
      <c r="D216" s="59"/>
      <c r="E216" s="59"/>
      <c r="F216" s="59"/>
      <c r="G216" s="59"/>
      <c r="H216" s="59"/>
      <c r="I216" s="59"/>
      <c r="J216" s="59"/>
      <c r="K216" s="59"/>
      <c r="L216" s="59"/>
      <c r="M216" s="59"/>
      <c r="N216" s="59"/>
      <c r="O216" s="7"/>
      <c r="P216" s="6"/>
      <c r="Q216" s="6"/>
      <c r="R216" s="6"/>
      <c r="S216" s="6"/>
      <c r="T216" s="6"/>
      <c r="U216" s="6"/>
      <c r="V216" s="6"/>
      <c r="W216" s="6"/>
      <c r="X216" s="6"/>
      <c r="Y216" s="6"/>
      <c r="Z216" s="6"/>
      <c r="AA216" s="6"/>
    </row>
    <row r="217" ht="15.75" customHeight="1">
      <c r="A217" s="59"/>
      <c r="B217" s="59"/>
      <c r="C217" s="59"/>
      <c r="D217" s="59"/>
      <c r="E217" s="59"/>
      <c r="F217" s="59"/>
      <c r="G217" s="59"/>
      <c r="H217" s="59"/>
      <c r="I217" s="59"/>
      <c r="J217" s="59"/>
      <c r="K217" s="59"/>
      <c r="L217" s="59"/>
      <c r="M217" s="59"/>
      <c r="N217" s="59"/>
      <c r="O217" s="7"/>
      <c r="P217" s="6"/>
      <c r="Q217" s="6"/>
      <c r="R217" s="6"/>
      <c r="S217" s="6"/>
      <c r="T217" s="6"/>
      <c r="U217" s="6"/>
      <c r="V217" s="6"/>
      <c r="W217" s="6"/>
      <c r="X217" s="6"/>
      <c r="Y217" s="6"/>
      <c r="Z217" s="6"/>
      <c r="AA217" s="6"/>
    </row>
    <row r="218" ht="15.75" customHeight="1">
      <c r="A218" s="59"/>
      <c r="B218" s="59"/>
      <c r="C218" s="59"/>
      <c r="D218" s="59"/>
      <c r="E218" s="59"/>
      <c r="F218" s="59"/>
      <c r="G218" s="59"/>
      <c r="H218" s="59"/>
      <c r="I218" s="59"/>
      <c r="J218" s="59"/>
      <c r="K218" s="59"/>
      <c r="L218" s="59"/>
      <c r="M218" s="59"/>
      <c r="N218" s="59"/>
      <c r="O218" s="7"/>
      <c r="P218" s="6"/>
      <c r="Q218" s="6"/>
      <c r="R218" s="6"/>
      <c r="S218" s="6"/>
      <c r="T218" s="6"/>
      <c r="U218" s="6"/>
      <c r="V218" s="6"/>
      <c r="W218" s="6"/>
      <c r="X218" s="6"/>
      <c r="Y218" s="6"/>
      <c r="Z218" s="6"/>
      <c r="AA218" s="6"/>
    </row>
    <row r="219" ht="15.75" customHeight="1">
      <c r="A219" s="59"/>
      <c r="B219" s="59"/>
      <c r="C219" s="59"/>
      <c r="D219" s="59"/>
      <c r="E219" s="59"/>
      <c r="F219" s="59"/>
      <c r="G219" s="59"/>
      <c r="H219" s="59"/>
      <c r="I219" s="59"/>
      <c r="J219" s="59"/>
      <c r="K219" s="59"/>
      <c r="L219" s="59"/>
      <c r="M219" s="59"/>
      <c r="N219" s="59"/>
      <c r="O219" s="7"/>
      <c r="P219" s="6"/>
      <c r="Q219" s="6"/>
      <c r="R219" s="6"/>
      <c r="S219" s="6"/>
      <c r="T219" s="6"/>
      <c r="U219" s="6"/>
      <c r="V219" s="6"/>
      <c r="W219" s="6"/>
      <c r="X219" s="6"/>
      <c r="Y219" s="6"/>
      <c r="Z219" s="6"/>
      <c r="AA219" s="6"/>
    </row>
    <row r="220" ht="15.75" customHeight="1">
      <c r="A220" s="59"/>
      <c r="B220" s="59"/>
      <c r="C220" s="59"/>
      <c r="D220" s="59"/>
      <c r="E220" s="59"/>
      <c r="F220" s="59"/>
      <c r="G220" s="59"/>
      <c r="H220" s="59"/>
      <c r="I220" s="59"/>
      <c r="J220" s="59"/>
      <c r="K220" s="59"/>
      <c r="L220" s="59"/>
      <c r="M220" s="59"/>
      <c r="N220" s="59"/>
      <c r="O220" s="7"/>
      <c r="P220" s="6"/>
      <c r="Q220" s="6"/>
      <c r="R220" s="6"/>
      <c r="S220" s="6"/>
      <c r="T220" s="6"/>
      <c r="U220" s="6"/>
      <c r="V220" s="6"/>
      <c r="W220" s="6"/>
      <c r="X220" s="6"/>
      <c r="Y220" s="6"/>
      <c r="Z220" s="6"/>
      <c r="AA220" s="6"/>
    </row>
    <row r="221" ht="15.75" customHeight="1">
      <c r="A221" s="59"/>
      <c r="B221" s="59"/>
      <c r="C221" s="59"/>
      <c r="D221" s="59"/>
      <c r="E221" s="59"/>
      <c r="F221" s="59"/>
      <c r="G221" s="59"/>
      <c r="H221" s="59"/>
      <c r="I221" s="59"/>
      <c r="J221" s="59"/>
      <c r="K221" s="59"/>
      <c r="L221" s="59"/>
      <c r="M221" s="59"/>
      <c r="N221" s="59"/>
      <c r="O221" s="7"/>
      <c r="P221" s="6"/>
      <c r="Q221" s="6"/>
      <c r="R221" s="6"/>
      <c r="S221" s="6"/>
      <c r="T221" s="6"/>
      <c r="U221" s="6"/>
      <c r="V221" s="6"/>
      <c r="W221" s="6"/>
      <c r="X221" s="6"/>
      <c r="Y221" s="6"/>
      <c r="Z221" s="6"/>
      <c r="AA221" s="6"/>
    </row>
    <row r="222" ht="15.75" customHeight="1">
      <c r="A222" s="59"/>
      <c r="B222" s="59"/>
      <c r="C222" s="59"/>
      <c r="D222" s="59"/>
      <c r="E222" s="59"/>
      <c r="F222" s="59"/>
      <c r="G222" s="59"/>
      <c r="H222" s="59"/>
      <c r="I222" s="59"/>
      <c r="J222" s="59"/>
      <c r="K222" s="59"/>
      <c r="L222" s="59"/>
      <c r="M222" s="59"/>
      <c r="N222" s="59"/>
      <c r="O222" s="7"/>
      <c r="P222" s="6"/>
      <c r="Q222" s="6"/>
      <c r="R222" s="6"/>
      <c r="S222" s="6"/>
      <c r="T222" s="6"/>
      <c r="U222" s="6"/>
      <c r="V222" s="6"/>
      <c r="W222" s="6"/>
      <c r="X222" s="6"/>
      <c r="Y222" s="6"/>
      <c r="Z222" s="6"/>
      <c r="AA222" s="6"/>
    </row>
    <row r="223" ht="15.75" customHeight="1">
      <c r="A223" s="59"/>
      <c r="B223" s="59"/>
      <c r="C223" s="59"/>
      <c r="D223" s="59"/>
      <c r="E223" s="59"/>
      <c r="F223" s="59"/>
      <c r="G223" s="59"/>
      <c r="H223" s="59"/>
      <c r="I223" s="59"/>
      <c r="J223" s="59"/>
      <c r="K223" s="59"/>
      <c r="L223" s="59"/>
      <c r="M223" s="59"/>
      <c r="N223" s="59"/>
      <c r="O223" s="7"/>
      <c r="P223" s="6"/>
      <c r="Q223" s="6"/>
      <c r="R223" s="6"/>
      <c r="S223" s="6"/>
      <c r="T223" s="6"/>
      <c r="U223" s="6"/>
      <c r="V223" s="6"/>
      <c r="W223" s="6"/>
      <c r="X223" s="6"/>
      <c r="Y223" s="6"/>
      <c r="Z223" s="6"/>
      <c r="AA223" s="6"/>
    </row>
    <row r="224" ht="15.75" customHeight="1">
      <c r="A224" s="59"/>
      <c r="B224" s="59"/>
      <c r="C224" s="59"/>
      <c r="D224" s="59"/>
      <c r="E224" s="59"/>
      <c r="F224" s="59"/>
      <c r="G224" s="59"/>
      <c r="H224" s="59"/>
      <c r="I224" s="59"/>
      <c r="J224" s="59"/>
      <c r="K224" s="59"/>
      <c r="L224" s="59"/>
      <c r="M224" s="59"/>
      <c r="N224" s="59"/>
      <c r="O224" s="7"/>
      <c r="P224" s="6"/>
      <c r="Q224" s="6"/>
      <c r="R224" s="6"/>
      <c r="S224" s="6"/>
      <c r="T224" s="6"/>
      <c r="U224" s="6"/>
      <c r="V224" s="6"/>
      <c r="W224" s="6"/>
      <c r="X224" s="6"/>
      <c r="Y224" s="6"/>
      <c r="Z224" s="6"/>
      <c r="AA224" s="6"/>
    </row>
    <row r="225" ht="15.75" customHeight="1">
      <c r="A225" s="59"/>
      <c r="B225" s="59"/>
      <c r="C225" s="59"/>
      <c r="D225" s="59"/>
      <c r="E225" s="59"/>
      <c r="F225" s="59"/>
      <c r="G225" s="59"/>
      <c r="H225" s="59"/>
      <c r="I225" s="59"/>
      <c r="J225" s="59"/>
      <c r="K225" s="59"/>
      <c r="L225" s="59"/>
      <c r="M225" s="59"/>
      <c r="N225" s="59"/>
      <c r="O225" s="7"/>
      <c r="P225" s="6"/>
      <c r="Q225" s="6"/>
      <c r="R225" s="6"/>
      <c r="S225" s="6"/>
      <c r="T225" s="6"/>
      <c r="U225" s="6"/>
      <c r="V225" s="6"/>
      <c r="W225" s="6"/>
      <c r="X225" s="6"/>
      <c r="Y225" s="6"/>
      <c r="Z225" s="6"/>
      <c r="AA225" s="6"/>
    </row>
    <row r="226" ht="15.75" customHeight="1">
      <c r="A226" s="59"/>
      <c r="B226" s="59"/>
      <c r="C226" s="59"/>
      <c r="D226" s="59"/>
      <c r="E226" s="59"/>
      <c r="F226" s="59"/>
      <c r="G226" s="59"/>
      <c r="H226" s="59"/>
      <c r="I226" s="59"/>
      <c r="J226" s="59"/>
      <c r="K226" s="59"/>
      <c r="L226" s="59"/>
      <c r="M226" s="59"/>
      <c r="N226" s="59"/>
      <c r="O226" s="7"/>
      <c r="P226" s="6"/>
      <c r="Q226" s="6"/>
      <c r="R226" s="6"/>
      <c r="S226" s="6"/>
      <c r="T226" s="6"/>
      <c r="U226" s="6"/>
      <c r="V226" s="6"/>
      <c r="W226" s="6"/>
      <c r="X226" s="6"/>
      <c r="Y226" s="6"/>
      <c r="Z226" s="6"/>
      <c r="AA226" s="6"/>
    </row>
    <row r="227" ht="15.75" customHeight="1">
      <c r="A227" s="59"/>
      <c r="B227" s="59"/>
      <c r="C227" s="59"/>
      <c r="D227" s="59"/>
      <c r="E227" s="59"/>
      <c r="F227" s="59"/>
      <c r="G227" s="59"/>
      <c r="H227" s="59"/>
      <c r="I227" s="59"/>
      <c r="J227" s="59"/>
      <c r="K227" s="59"/>
      <c r="L227" s="59"/>
      <c r="M227" s="59"/>
      <c r="N227" s="59"/>
      <c r="O227" s="7"/>
      <c r="P227" s="6"/>
      <c r="Q227" s="6"/>
      <c r="R227" s="6"/>
      <c r="S227" s="6"/>
      <c r="T227" s="6"/>
      <c r="U227" s="6"/>
      <c r="V227" s="6"/>
      <c r="W227" s="6"/>
      <c r="X227" s="6"/>
      <c r="Y227" s="6"/>
      <c r="Z227" s="6"/>
      <c r="AA227" s="6"/>
    </row>
    <row r="228" ht="15.75" customHeight="1">
      <c r="A228" s="59"/>
      <c r="B228" s="59"/>
      <c r="C228" s="59"/>
      <c r="D228" s="59"/>
      <c r="E228" s="59"/>
      <c r="F228" s="59"/>
      <c r="G228" s="59"/>
      <c r="H228" s="59"/>
      <c r="I228" s="59"/>
      <c r="J228" s="59"/>
      <c r="K228" s="59"/>
      <c r="L228" s="59"/>
      <c r="M228" s="59"/>
      <c r="N228" s="59"/>
      <c r="O228" s="7"/>
      <c r="P228" s="6"/>
      <c r="Q228" s="6"/>
      <c r="R228" s="6"/>
      <c r="S228" s="6"/>
      <c r="T228" s="6"/>
      <c r="U228" s="6"/>
      <c r="V228" s="6"/>
      <c r="W228" s="6"/>
      <c r="X228" s="6"/>
      <c r="Y228" s="6"/>
      <c r="Z228" s="6"/>
      <c r="AA228" s="6"/>
    </row>
    <row r="229" ht="15.75" customHeight="1">
      <c r="A229" s="59"/>
      <c r="B229" s="59"/>
      <c r="C229" s="59"/>
      <c r="D229" s="59"/>
      <c r="E229" s="59"/>
      <c r="F229" s="59"/>
      <c r="G229" s="59"/>
      <c r="H229" s="59"/>
      <c r="I229" s="59"/>
      <c r="J229" s="59"/>
      <c r="K229" s="59"/>
      <c r="L229" s="59"/>
      <c r="M229" s="59"/>
      <c r="N229" s="59"/>
      <c r="O229" s="7"/>
      <c r="P229" s="6"/>
      <c r="Q229" s="6"/>
      <c r="R229" s="6"/>
      <c r="S229" s="6"/>
      <c r="T229" s="6"/>
      <c r="U229" s="6"/>
      <c r="V229" s="6"/>
      <c r="W229" s="6"/>
      <c r="X229" s="6"/>
      <c r="Y229" s="6"/>
      <c r="Z229" s="6"/>
      <c r="AA229" s="6"/>
    </row>
    <row r="230" ht="15.75" customHeight="1">
      <c r="A230" s="59"/>
      <c r="B230" s="59"/>
      <c r="C230" s="59"/>
      <c r="D230" s="59"/>
      <c r="E230" s="59"/>
      <c r="F230" s="59"/>
      <c r="G230" s="59"/>
      <c r="H230" s="59"/>
      <c r="I230" s="59"/>
      <c r="J230" s="59"/>
      <c r="K230" s="59"/>
      <c r="L230" s="59"/>
      <c r="M230" s="59"/>
      <c r="N230" s="59"/>
      <c r="O230" s="7"/>
      <c r="P230" s="6"/>
      <c r="Q230" s="6"/>
      <c r="R230" s="6"/>
      <c r="S230" s="6"/>
      <c r="T230" s="6"/>
      <c r="U230" s="6"/>
      <c r="V230" s="6"/>
      <c r="W230" s="6"/>
      <c r="X230" s="6"/>
      <c r="Y230" s="6"/>
      <c r="Z230" s="6"/>
      <c r="AA230" s="6"/>
    </row>
    <row r="231" ht="15.75" customHeight="1">
      <c r="A231" s="59"/>
      <c r="B231" s="59"/>
      <c r="C231" s="59"/>
      <c r="D231" s="59"/>
      <c r="E231" s="59"/>
      <c r="F231" s="59"/>
      <c r="G231" s="59"/>
      <c r="H231" s="59"/>
      <c r="I231" s="59"/>
      <c r="J231" s="59"/>
      <c r="K231" s="59"/>
      <c r="L231" s="59"/>
      <c r="M231" s="59"/>
      <c r="N231" s="59"/>
      <c r="O231" s="7"/>
      <c r="P231" s="6"/>
      <c r="Q231" s="6"/>
      <c r="R231" s="6"/>
      <c r="S231" s="6"/>
      <c r="T231" s="6"/>
      <c r="U231" s="6"/>
      <c r="V231" s="6"/>
      <c r="W231" s="6"/>
      <c r="X231" s="6"/>
      <c r="Y231" s="6"/>
      <c r="Z231" s="6"/>
      <c r="AA231" s="6"/>
    </row>
    <row r="232" ht="15.75" customHeight="1">
      <c r="A232" s="59"/>
      <c r="B232" s="59"/>
      <c r="C232" s="59"/>
      <c r="D232" s="59"/>
      <c r="E232" s="59"/>
      <c r="F232" s="59"/>
      <c r="G232" s="59"/>
      <c r="H232" s="59"/>
      <c r="I232" s="59"/>
      <c r="J232" s="59"/>
      <c r="K232" s="59"/>
      <c r="L232" s="59"/>
      <c r="M232" s="59"/>
      <c r="N232" s="59"/>
      <c r="O232" s="7"/>
      <c r="P232" s="6"/>
      <c r="Q232" s="6"/>
      <c r="R232" s="6"/>
      <c r="S232" s="6"/>
      <c r="T232" s="6"/>
      <c r="U232" s="6"/>
      <c r="V232" s="6"/>
      <c r="W232" s="6"/>
      <c r="X232" s="6"/>
      <c r="Y232" s="6"/>
      <c r="Z232" s="6"/>
      <c r="AA232" s="6"/>
    </row>
    <row r="233" ht="15.75" customHeight="1">
      <c r="A233" s="59"/>
      <c r="B233" s="59"/>
      <c r="C233" s="59"/>
      <c r="D233" s="59"/>
      <c r="E233" s="59"/>
      <c r="F233" s="59"/>
      <c r="G233" s="59"/>
      <c r="H233" s="59"/>
      <c r="I233" s="59"/>
      <c r="J233" s="59"/>
      <c r="K233" s="59"/>
      <c r="L233" s="59"/>
      <c r="M233" s="59"/>
      <c r="N233" s="59"/>
      <c r="O233" s="7"/>
      <c r="P233" s="6"/>
      <c r="Q233" s="6"/>
      <c r="R233" s="6"/>
      <c r="S233" s="6"/>
      <c r="T233" s="6"/>
      <c r="U233" s="6"/>
      <c r="V233" s="6"/>
      <c r="W233" s="6"/>
      <c r="X233" s="6"/>
      <c r="Y233" s="6"/>
      <c r="Z233" s="6"/>
      <c r="AA233" s="6"/>
    </row>
    <row r="234" ht="15.75" customHeight="1">
      <c r="A234" s="59"/>
      <c r="B234" s="59"/>
      <c r="C234" s="59"/>
      <c r="D234" s="59"/>
      <c r="E234" s="59"/>
      <c r="F234" s="59"/>
      <c r="G234" s="59"/>
      <c r="H234" s="59"/>
      <c r="I234" s="59"/>
      <c r="J234" s="59"/>
      <c r="K234" s="59"/>
      <c r="L234" s="59"/>
      <c r="M234" s="59"/>
      <c r="N234" s="59"/>
      <c r="O234" s="7"/>
      <c r="P234" s="6"/>
      <c r="Q234" s="6"/>
      <c r="R234" s="6"/>
      <c r="S234" s="6"/>
      <c r="T234" s="6"/>
      <c r="U234" s="6"/>
      <c r="V234" s="6"/>
      <c r="W234" s="6"/>
      <c r="X234" s="6"/>
      <c r="Y234" s="6"/>
      <c r="Z234" s="6"/>
      <c r="AA234" s="6"/>
    </row>
    <row r="235" ht="15.75" customHeight="1">
      <c r="A235" s="59"/>
      <c r="B235" s="59"/>
      <c r="C235" s="59"/>
      <c r="D235" s="59"/>
      <c r="E235" s="59"/>
      <c r="F235" s="59"/>
      <c r="G235" s="59"/>
      <c r="H235" s="59"/>
      <c r="I235" s="59"/>
      <c r="J235" s="59"/>
      <c r="K235" s="59"/>
      <c r="L235" s="59"/>
      <c r="M235" s="59"/>
      <c r="N235" s="59"/>
      <c r="O235" s="7"/>
      <c r="P235" s="6"/>
      <c r="Q235" s="6"/>
      <c r="R235" s="6"/>
      <c r="S235" s="6"/>
      <c r="T235" s="6"/>
      <c r="U235" s="6"/>
      <c r="V235" s="6"/>
      <c r="W235" s="6"/>
      <c r="X235" s="6"/>
      <c r="Y235" s="6"/>
      <c r="Z235" s="6"/>
      <c r="AA235" s="6"/>
    </row>
    <row r="236" ht="15.75" customHeight="1">
      <c r="A236" s="59"/>
      <c r="B236" s="59"/>
      <c r="C236" s="59"/>
      <c r="D236" s="59"/>
      <c r="E236" s="59"/>
      <c r="F236" s="59"/>
      <c r="G236" s="59"/>
      <c r="H236" s="59"/>
      <c r="I236" s="59"/>
      <c r="J236" s="59"/>
      <c r="K236" s="59"/>
      <c r="L236" s="59"/>
      <c r="M236" s="59"/>
      <c r="N236" s="59"/>
      <c r="O236" s="7"/>
      <c r="P236" s="6"/>
      <c r="Q236" s="6"/>
      <c r="R236" s="6"/>
      <c r="S236" s="6"/>
      <c r="T236" s="6"/>
      <c r="U236" s="6"/>
      <c r="V236" s="6"/>
      <c r="W236" s="6"/>
      <c r="X236" s="6"/>
      <c r="Y236" s="6"/>
      <c r="Z236" s="6"/>
      <c r="AA236" s="6"/>
    </row>
    <row r="237" ht="15.75" customHeight="1">
      <c r="A237" s="59"/>
      <c r="B237" s="59"/>
      <c r="C237" s="59"/>
      <c r="D237" s="59"/>
      <c r="E237" s="59"/>
      <c r="F237" s="59"/>
      <c r="G237" s="59"/>
      <c r="H237" s="59"/>
      <c r="I237" s="59"/>
      <c r="J237" s="59"/>
      <c r="K237" s="59"/>
      <c r="L237" s="59"/>
      <c r="M237" s="59"/>
      <c r="N237" s="59"/>
      <c r="O237" s="7"/>
      <c r="P237" s="6"/>
      <c r="Q237" s="6"/>
      <c r="R237" s="6"/>
      <c r="S237" s="6"/>
      <c r="T237" s="6"/>
      <c r="U237" s="6"/>
      <c r="V237" s="6"/>
      <c r="W237" s="6"/>
      <c r="X237" s="6"/>
      <c r="Y237" s="6"/>
      <c r="Z237" s="6"/>
      <c r="AA237" s="6"/>
    </row>
    <row r="238" ht="15.75" customHeight="1">
      <c r="A238" s="59"/>
      <c r="B238" s="59"/>
      <c r="C238" s="59"/>
      <c r="D238" s="59"/>
      <c r="E238" s="59"/>
      <c r="F238" s="59"/>
      <c r="G238" s="59"/>
      <c r="H238" s="59"/>
      <c r="I238" s="59"/>
      <c r="J238" s="59"/>
      <c r="K238" s="59"/>
      <c r="L238" s="59"/>
      <c r="M238" s="59"/>
      <c r="N238" s="59"/>
      <c r="O238" s="7"/>
      <c r="P238" s="6"/>
      <c r="Q238" s="6"/>
      <c r="R238" s="6"/>
      <c r="S238" s="6"/>
      <c r="T238" s="6"/>
      <c r="U238" s="6"/>
      <c r="V238" s="6"/>
      <c r="W238" s="6"/>
      <c r="X238" s="6"/>
      <c r="Y238" s="6"/>
      <c r="Z238" s="6"/>
      <c r="AA238" s="6"/>
    </row>
    <row r="239" ht="15.75" customHeight="1">
      <c r="A239" s="59"/>
      <c r="B239" s="59"/>
      <c r="C239" s="59"/>
      <c r="D239" s="59"/>
      <c r="E239" s="59"/>
      <c r="F239" s="59"/>
      <c r="G239" s="59"/>
      <c r="H239" s="59"/>
      <c r="I239" s="59"/>
      <c r="J239" s="59"/>
      <c r="K239" s="59"/>
      <c r="L239" s="59"/>
      <c r="M239" s="59"/>
      <c r="N239" s="59"/>
      <c r="O239" s="7"/>
      <c r="P239" s="6"/>
      <c r="Q239" s="6"/>
      <c r="R239" s="6"/>
      <c r="S239" s="6"/>
      <c r="T239" s="6"/>
      <c r="U239" s="6"/>
      <c r="V239" s="6"/>
      <c r="W239" s="6"/>
      <c r="X239" s="6"/>
      <c r="Y239" s="6"/>
      <c r="Z239" s="6"/>
      <c r="AA239" s="6"/>
    </row>
    <row r="240" ht="15.75" customHeight="1">
      <c r="A240" s="59"/>
      <c r="B240" s="59"/>
      <c r="C240" s="59"/>
      <c r="D240" s="59"/>
      <c r="E240" s="59"/>
      <c r="F240" s="59"/>
      <c r="G240" s="59"/>
      <c r="H240" s="59"/>
      <c r="I240" s="59"/>
      <c r="J240" s="59"/>
      <c r="K240" s="59"/>
      <c r="L240" s="59"/>
      <c r="M240" s="59"/>
      <c r="N240" s="59"/>
      <c r="O240" s="7"/>
      <c r="P240" s="6"/>
      <c r="Q240" s="6"/>
      <c r="R240" s="6"/>
      <c r="S240" s="6"/>
      <c r="T240" s="6"/>
      <c r="U240" s="6"/>
      <c r="V240" s="6"/>
      <c r="W240" s="6"/>
      <c r="X240" s="6"/>
      <c r="Y240" s="6"/>
      <c r="Z240" s="6"/>
      <c r="AA240" s="6"/>
    </row>
    <row r="241" ht="15.75" customHeight="1">
      <c r="A241" s="59"/>
      <c r="B241" s="59"/>
      <c r="C241" s="59"/>
      <c r="D241" s="59"/>
      <c r="E241" s="59"/>
      <c r="F241" s="59"/>
      <c r="G241" s="59"/>
      <c r="H241" s="59"/>
      <c r="I241" s="59"/>
      <c r="J241" s="59"/>
      <c r="K241" s="59"/>
      <c r="L241" s="59"/>
      <c r="M241" s="59"/>
      <c r="N241" s="59"/>
      <c r="O241" s="7"/>
      <c r="P241" s="6"/>
      <c r="Q241" s="6"/>
      <c r="R241" s="6"/>
      <c r="S241" s="6"/>
      <c r="T241" s="6"/>
      <c r="U241" s="6"/>
      <c r="V241" s="6"/>
      <c r="W241" s="6"/>
      <c r="X241" s="6"/>
      <c r="Y241" s="6"/>
      <c r="Z241" s="6"/>
      <c r="AA241" s="6"/>
    </row>
    <row r="242" ht="15.75" customHeight="1">
      <c r="A242" s="59"/>
      <c r="B242" s="59"/>
      <c r="C242" s="59"/>
      <c r="D242" s="59"/>
      <c r="E242" s="59"/>
      <c r="F242" s="59"/>
      <c r="G242" s="59"/>
      <c r="H242" s="59"/>
      <c r="I242" s="59"/>
      <c r="J242" s="59"/>
      <c r="K242" s="59"/>
      <c r="L242" s="59"/>
      <c r="M242" s="59"/>
      <c r="N242" s="59"/>
      <c r="O242" s="7"/>
      <c r="P242" s="6"/>
      <c r="Q242" s="6"/>
      <c r="R242" s="6"/>
      <c r="S242" s="6"/>
      <c r="T242" s="6"/>
      <c r="U242" s="6"/>
      <c r="V242" s="6"/>
      <c r="W242" s="6"/>
      <c r="X242" s="6"/>
      <c r="Y242" s="6"/>
      <c r="Z242" s="6"/>
      <c r="AA242" s="6"/>
    </row>
    <row r="243" ht="15.75" customHeight="1">
      <c r="A243" s="59"/>
      <c r="B243" s="59"/>
      <c r="C243" s="59"/>
      <c r="D243" s="59"/>
      <c r="E243" s="59"/>
      <c r="F243" s="59"/>
      <c r="G243" s="59"/>
      <c r="H243" s="59"/>
      <c r="I243" s="59"/>
      <c r="J243" s="59"/>
      <c r="K243" s="59"/>
      <c r="L243" s="59"/>
      <c r="M243" s="59"/>
      <c r="N243" s="59"/>
      <c r="O243" s="7"/>
      <c r="P243" s="6"/>
      <c r="Q243" s="6"/>
      <c r="R243" s="6"/>
      <c r="S243" s="6"/>
      <c r="T243" s="6"/>
      <c r="U243" s="6"/>
      <c r="V243" s="6"/>
      <c r="W243" s="6"/>
      <c r="X243" s="6"/>
      <c r="Y243" s="6"/>
      <c r="Z243" s="6"/>
      <c r="AA243" s="6"/>
    </row>
    <row r="244" ht="15.75" customHeight="1">
      <c r="A244" s="59"/>
      <c r="B244" s="59"/>
      <c r="C244" s="59"/>
      <c r="D244" s="59"/>
      <c r="E244" s="59"/>
      <c r="F244" s="59"/>
      <c r="G244" s="59"/>
      <c r="H244" s="59"/>
      <c r="I244" s="59"/>
      <c r="J244" s="59"/>
      <c r="K244" s="59"/>
      <c r="L244" s="59"/>
      <c r="M244" s="59"/>
      <c r="N244" s="59"/>
      <c r="O244" s="7"/>
      <c r="P244" s="6"/>
      <c r="Q244" s="6"/>
      <c r="R244" s="6"/>
      <c r="S244" s="6"/>
      <c r="T244" s="6"/>
      <c r="U244" s="6"/>
      <c r="V244" s="6"/>
      <c r="W244" s="6"/>
      <c r="X244" s="6"/>
      <c r="Y244" s="6"/>
      <c r="Z244" s="6"/>
      <c r="AA244" s="6"/>
    </row>
    <row r="245" ht="15.75" customHeight="1">
      <c r="A245" s="59"/>
      <c r="B245" s="59"/>
      <c r="C245" s="59"/>
      <c r="D245" s="59"/>
      <c r="E245" s="59"/>
      <c r="F245" s="59"/>
      <c r="G245" s="59"/>
      <c r="H245" s="59"/>
      <c r="I245" s="59"/>
      <c r="J245" s="59"/>
      <c r="K245" s="59"/>
      <c r="L245" s="59"/>
      <c r="M245" s="59"/>
      <c r="N245" s="59"/>
      <c r="O245" s="7"/>
      <c r="P245" s="6"/>
      <c r="Q245" s="6"/>
      <c r="R245" s="6"/>
      <c r="S245" s="6"/>
      <c r="T245" s="6"/>
      <c r="U245" s="6"/>
      <c r="V245" s="6"/>
      <c r="W245" s="6"/>
      <c r="X245" s="6"/>
      <c r="Y245" s="6"/>
      <c r="Z245" s="6"/>
      <c r="AA245" s="6"/>
    </row>
    <row r="246" ht="15.75" customHeight="1">
      <c r="A246" s="59"/>
      <c r="B246" s="59"/>
      <c r="C246" s="59"/>
      <c r="D246" s="59"/>
      <c r="E246" s="59"/>
      <c r="F246" s="59"/>
      <c r="G246" s="59"/>
      <c r="H246" s="59"/>
      <c r="I246" s="59"/>
      <c r="J246" s="59"/>
      <c r="K246" s="59"/>
      <c r="L246" s="59"/>
      <c r="M246" s="59"/>
      <c r="N246" s="59"/>
      <c r="O246" s="7"/>
      <c r="P246" s="6"/>
      <c r="Q246" s="6"/>
      <c r="R246" s="6"/>
      <c r="S246" s="6"/>
      <c r="T246" s="6"/>
      <c r="U246" s="6"/>
      <c r="V246" s="6"/>
      <c r="W246" s="6"/>
      <c r="X246" s="6"/>
      <c r="Y246" s="6"/>
      <c r="Z246" s="6"/>
      <c r="AA246" s="6"/>
    </row>
    <row r="247" ht="15.75" customHeight="1">
      <c r="A247" s="59"/>
      <c r="B247" s="59"/>
      <c r="C247" s="59"/>
      <c r="D247" s="59"/>
      <c r="E247" s="59"/>
      <c r="F247" s="59"/>
      <c r="G247" s="59"/>
      <c r="H247" s="59"/>
      <c r="I247" s="59"/>
      <c r="J247" s="59"/>
      <c r="K247" s="59"/>
      <c r="L247" s="59"/>
      <c r="M247" s="59"/>
      <c r="N247" s="59"/>
      <c r="O247" s="7"/>
      <c r="P247" s="6"/>
      <c r="Q247" s="6"/>
      <c r="R247" s="6"/>
      <c r="S247" s="6"/>
      <c r="T247" s="6"/>
      <c r="U247" s="6"/>
      <c r="V247" s="6"/>
      <c r="W247" s="6"/>
      <c r="X247" s="6"/>
      <c r="Y247" s="6"/>
      <c r="Z247" s="6"/>
      <c r="AA247" s="6"/>
    </row>
    <row r="248" ht="15.75" customHeight="1">
      <c r="A248" s="59"/>
      <c r="B248" s="59"/>
      <c r="C248" s="59"/>
      <c r="D248" s="59"/>
      <c r="E248" s="59"/>
      <c r="F248" s="59"/>
      <c r="G248" s="59"/>
      <c r="H248" s="59"/>
      <c r="I248" s="59"/>
      <c r="J248" s="59"/>
      <c r="K248" s="59"/>
      <c r="L248" s="59"/>
      <c r="M248" s="59"/>
      <c r="N248" s="59"/>
      <c r="O248" s="7"/>
      <c r="P248" s="6"/>
      <c r="Q248" s="6"/>
      <c r="R248" s="6"/>
      <c r="S248" s="6"/>
      <c r="T248" s="6"/>
      <c r="U248" s="6"/>
      <c r="V248" s="6"/>
      <c r="W248" s="6"/>
      <c r="X248" s="6"/>
      <c r="Y248" s="6"/>
      <c r="Z248" s="6"/>
      <c r="AA248" s="6"/>
    </row>
    <row r="249" ht="15.75" customHeight="1">
      <c r="A249" s="59"/>
      <c r="B249" s="59"/>
      <c r="C249" s="59"/>
      <c r="D249" s="59"/>
      <c r="E249" s="59"/>
      <c r="F249" s="59"/>
      <c r="G249" s="59"/>
      <c r="H249" s="59"/>
      <c r="I249" s="59"/>
      <c r="J249" s="59"/>
      <c r="K249" s="59"/>
      <c r="L249" s="59"/>
      <c r="M249" s="59"/>
      <c r="N249" s="59"/>
      <c r="O249" s="7"/>
      <c r="P249" s="6"/>
      <c r="Q249" s="6"/>
      <c r="R249" s="6"/>
      <c r="S249" s="6"/>
      <c r="T249" s="6"/>
      <c r="U249" s="6"/>
      <c r="V249" s="6"/>
      <c r="W249" s="6"/>
      <c r="X249" s="6"/>
      <c r="Y249" s="6"/>
      <c r="Z249" s="6"/>
      <c r="AA249" s="6"/>
    </row>
    <row r="250" ht="15.75" customHeight="1">
      <c r="A250" s="59"/>
      <c r="B250" s="59"/>
      <c r="C250" s="59"/>
      <c r="D250" s="59"/>
      <c r="E250" s="59"/>
      <c r="F250" s="59"/>
      <c r="G250" s="59"/>
      <c r="H250" s="59"/>
      <c r="I250" s="59"/>
      <c r="J250" s="59"/>
      <c r="K250" s="59"/>
      <c r="L250" s="59"/>
      <c r="M250" s="59"/>
      <c r="N250" s="59"/>
      <c r="O250" s="7"/>
      <c r="P250" s="6"/>
      <c r="Q250" s="6"/>
      <c r="R250" s="6"/>
      <c r="S250" s="6"/>
      <c r="T250" s="6"/>
      <c r="U250" s="6"/>
      <c r="V250" s="6"/>
      <c r="W250" s="6"/>
      <c r="X250" s="6"/>
      <c r="Y250" s="6"/>
      <c r="Z250" s="6"/>
      <c r="AA250" s="6"/>
    </row>
    <row r="251" ht="15.75" customHeight="1">
      <c r="A251" s="59"/>
      <c r="B251" s="59"/>
      <c r="C251" s="59"/>
      <c r="D251" s="59"/>
      <c r="E251" s="59"/>
      <c r="F251" s="59"/>
      <c r="G251" s="59"/>
      <c r="H251" s="59"/>
      <c r="I251" s="59"/>
      <c r="J251" s="59"/>
      <c r="K251" s="59"/>
      <c r="L251" s="59"/>
      <c r="M251" s="59"/>
      <c r="N251" s="59"/>
      <c r="O251" s="7"/>
      <c r="P251" s="6"/>
      <c r="Q251" s="6"/>
      <c r="R251" s="6"/>
      <c r="S251" s="6"/>
      <c r="T251" s="6"/>
      <c r="U251" s="6"/>
      <c r="V251" s="6"/>
      <c r="W251" s="6"/>
      <c r="X251" s="6"/>
      <c r="Y251" s="6"/>
      <c r="Z251" s="6"/>
      <c r="AA251" s="6"/>
    </row>
    <row r="252" ht="15.75" customHeight="1">
      <c r="A252" s="59"/>
      <c r="B252" s="59"/>
      <c r="C252" s="59"/>
      <c r="D252" s="59"/>
      <c r="E252" s="59"/>
      <c r="F252" s="59"/>
      <c r="G252" s="59"/>
      <c r="H252" s="59"/>
      <c r="I252" s="59"/>
      <c r="J252" s="59"/>
      <c r="K252" s="59"/>
      <c r="L252" s="59"/>
      <c r="M252" s="59"/>
      <c r="N252" s="59"/>
      <c r="O252" s="7"/>
      <c r="P252" s="6"/>
      <c r="Q252" s="6"/>
      <c r="R252" s="6"/>
      <c r="S252" s="6"/>
      <c r="T252" s="6"/>
      <c r="U252" s="6"/>
      <c r="V252" s="6"/>
      <c r="W252" s="6"/>
      <c r="X252" s="6"/>
      <c r="Y252" s="6"/>
      <c r="Z252" s="6"/>
      <c r="AA252" s="6"/>
    </row>
    <row r="253" ht="15.75" customHeight="1">
      <c r="A253" s="59"/>
      <c r="B253" s="59"/>
      <c r="C253" s="59"/>
      <c r="D253" s="59"/>
      <c r="E253" s="59"/>
      <c r="F253" s="59"/>
      <c r="G253" s="59"/>
      <c r="H253" s="59"/>
      <c r="I253" s="59"/>
      <c r="J253" s="59"/>
      <c r="K253" s="59"/>
      <c r="L253" s="59"/>
      <c r="M253" s="59"/>
      <c r="N253" s="59"/>
      <c r="O253" s="7"/>
      <c r="P253" s="6"/>
      <c r="Q253" s="6"/>
      <c r="R253" s="6"/>
      <c r="S253" s="6"/>
      <c r="T253" s="6"/>
      <c r="U253" s="6"/>
      <c r="V253" s="6"/>
      <c r="W253" s="6"/>
      <c r="X253" s="6"/>
      <c r="Y253" s="6"/>
      <c r="Z253" s="6"/>
      <c r="AA253" s="6"/>
    </row>
    <row r="254" ht="15.75" customHeight="1">
      <c r="A254" s="59"/>
      <c r="B254" s="59"/>
      <c r="C254" s="59"/>
      <c r="D254" s="59"/>
      <c r="E254" s="59"/>
      <c r="F254" s="59"/>
      <c r="G254" s="59"/>
      <c r="H254" s="59"/>
      <c r="I254" s="59"/>
      <c r="J254" s="59"/>
      <c r="K254" s="59"/>
      <c r="L254" s="59"/>
      <c r="M254" s="59"/>
      <c r="N254" s="59"/>
      <c r="O254" s="7"/>
      <c r="P254" s="6"/>
      <c r="Q254" s="6"/>
      <c r="R254" s="6"/>
      <c r="S254" s="6"/>
      <c r="T254" s="6"/>
      <c r="U254" s="6"/>
      <c r="V254" s="6"/>
      <c r="W254" s="6"/>
      <c r="X254" s="6"/>
      <c r="Y254" s="6"/>
      <c r="Z254" s="6"/>
      <c r="AA254" s="6"/>
    </row>
    <row r="255" ht="15.75" customHeight="1">
      <c r="A255" s="59"/>
      <c r="B255" s="59"/>
      <c r="C255" s="59"/>
      <c r="D255" s="59"/>
      <c r="E255" s="59"/>
      <c r="F255" s="59"/>
      <c r="G255" s="59"/>
      <c r="H255" s="59"/>
      <c r="I255" s="59"/>
      <c r="J255" s="59"/>
      <c r="K255" s="59"/>
      <c r="L255" s="59"/>
      <c r="M255" s="59"/>
      <c r="N255" s="59"/>
      <c r="O255" s="7"/>
      <c r="P255" s="6"/>
      <c r="Q255" s="6"/>
      <c r="R255" s="6"/>
      <c r="S255" s="6"/>
      <c r="T255" s="6"/>
      <c r="U255" s="6"/>
      <c r="V255" s="6"/>
      <c r="W255" s="6"/>
      <c r="X255" s="6"/>
      <c r="Y255" s="6"/>
      <c r="Z255" s="6"/>
      <c r="AA255" s="6"/>
    </row>
    <row r="256" ht="15.75" customHeight="1">
      <c r="A256" s="59"/>
      <c r="B256" s="59"/>
      <c r="C256" s="59"/>
      <c r="D256" s="59"/>
      <c r="E256" s="59"/>
      <c r="F256" s="59"/>
      <c r="G256" s="59"/>
      <c r="H256" s="59"/>
      <c r="I256" s="59"/>
      <c r="J256" s="59"/>
      <c r="K256" s="59"/>
      <c r="L256" s="59"/>
      <c r="M256" s="59"/>
      <c r="N256" s="59"/>
      <c r="O256" s="7"/>
      <c r="P256" s="6"/>
      <c r="Q256" s="6"/>
      <c r="R256" s="6"/>
      <c r="S256" s="6"/>
      <c r="T256" s="6"/>
      <c r="U256" s="6"/>
      <c r="V256" s="6"/>
      <c r="W256" s="6"/>
      <c r="X256" s="6"/>
      <c r="Y256" s="6"/>
      <c r="Z256" s="6"/>
      <c r="AA256" s="6"/>
    </row>
    <row r="257" ht="15.75" customHeight="1">
      <c r="A257" s="59"/>
      <c r="B257" s="59"/>
      <c r="C257" s="59"/>
      <c r="D257" s="59"/>
      <c r="E257" s="59"/>
      <c r="F257" s="59"/>
      <c r="G257" s="59"/>
      <c r="H257" s="59"/>
      <c r="I257" s="59"/>
      <c r="J257" s="59"/>
      <c r="K257" s="59"/>
      <c r="L257" s="59"/>
      <c r="M257" s="59"/>
      <c r="N257" s="59"/>
      <c r="O257" s="7"/>
      <c r="P257" s="6"/>
      <c r="Q257" s="6"/>
      <c r="R257" s="6"/>
      <c r="S257" s="6"/>
      <c r="T257" s="6"/>
      <c r="U257" s="6"/>
      <c r="V257" s="6"/>
      <c r="W257" s="6"/>
      <c r="X257" s="6"/>
      <c r="Y257" s="6"/>
      <c r="Z257" s="6"/>
      <c r="AA257" s="6"/>
    </row>
    <row r="258" ht="15.75" customHeight="1">
      <c r="A258" s="59"/>
      <c r="B258" s="59"/>
      <c r="C258" s="59"/>
      <c r="D258" s="59"/>
      <c r="E258" s="59"/>
      <c r="F258" s="59"/>
      <c r="G258" s="59"/>
      <c r="H258" s="59"/>
      <c r="I258" s="59"/>
      <c r="J258" s="59"/>
      <c r="K258" s="59"/>
      <c r="L258" s="59"/>
      <c r="M258" s="59"/>
      <c r="N258" s="59"/>
      <c r="O258" s="7"/>
      <c r="P258" s="6"/>
      <c r="Q258" s="6"/>
      <c r="R258" s="6"/>
      <c r="S258" s="6"/>
      <c r="T258" s="6"/>
      <c r="U258" s="6"/>
      <c r="V258" s="6"/>
      <c r="W258" s="6"/>
      <c r="X258" s="6"/>
      <c r="Y258" s="6"/>
      <c r="Z258" s="6"/>
      <c r="AA258" s="6"/>
    </row>
    <row r="259" ht="15.75" customHeight="1">
      <c r="A259" s="59"/>
      <c r="B259" s="59"/>
      <c r="C259" s="59"/>
      <c r="D259" s="59"/>
      <c r="E259" s="59"/>
      <c r="F259" s="59"/>
      <c r="G259" s="59"/>
      <c r="H259" s="59"/>
      <c r="I259" s="59"/>
      <c r="J259" s="59"/>
      <c r="K259" s="59"/>
      <c r="L259" s="59"/>
      <c r="M259" s="59"/>
      <c r="N259" s="59"/>
      <c r="O259" s="7"/>
      <c r="P259" s="6"/>
      <c r="Q259" s="6"/>
      <c r="R259" s="6"/>
      <c r="S259" s="6"/>
      <c r="T259" s="6"/>
      <c r="U259" s="6"/>
      <c r="V259" s="6"/>
      <c r="W259" s="6"/>
      <c r="X259" s="6"/>
      <c r="Y259" s="6"/>
      <c r="Z259" s="6"/>
      <c r="AA259" s="6"/>
    </row>
    <row r="260" ht="15.75" customHeight="1">
      <c r="A260" s="59"/>
      <c r="B260" s="59"/>
      <c r="C260" s="59"/>
      <c r="D260" s="59"/>
      <c r="E260" s="59"/>
      <c r="F260" s="59"/>
      <c r="G260" s="59"/>
      <c r="H260" s="59"/>
      <c r="I260" s="59"/>
      <c r="J260" s="59"/>
      <c r="K260" s="59"/>
      <c r="L260" s="59"/>
      <c r="M260" s="59"/>
      <c r="N260" s="59"/>
      <c r="O260" s="7"/>
      <c r="P260" s="6"/>
      <c r="Q260" s="6"/>
      <c r="R260" s="6"/>
      <c r="S260" s="6"/>
      <c r="T260" s="6"/>
      <c r="U260" s="6"/>
      <c r="V260" s="6"/>
      <c r="W260" s="6"/>
      <c r="X260" s="6"/>
      <c r="Y260" s="6"/>
      <c r="Z260" s="6"/>
      <c r="AA260" s="6"/>
    </row>
    <row r="261" ht="15.75" customHeight="1">
      <c r="A261" s="59"/>
      <c r="B261" s="59"/>
      <c r="C261" s="59"/>
      <c r="D261" s="59"/>
      <c r="E261" s="59"/>
      <c r="F261" s="59"/>
      <c r="G261" s="59"/>
      <c r="H261" s="59"/>
      <c r="I261" s="59"/>
      <c r="J261" s="59"/>
      <c r="K261" s="59"/>
      <c r="L261" s="59"/>
      <c r="M261" s="59"/>
      <c r="N261" s="59"/>
      <c r="O261" s="7"/>
      <c r="P261" s="6"/>
      <c r="Q261" s="6"/>
      <c r="R261" s="6"/>
      <c r="S261" s="6"/>
      <c r="T261" s="6"/>
      <c r="U261" s="6"/>
      <c r="V261" s="6"/>
      <c r="W261" s="6"/>
      <c r="X261" s="6"/>
      <c r="Y261" s="6"/>
      <c r="Z261" s="6"/>
      <c r="AA261" s="6"/>
    </row>
    <row r="262" ht="15.75" customHeight="1">
      <c r="A262" s="59"/>
      <c r="B262" s="59"/>
      <c r="C262" s="59"/>
      <c r="D262" s="59"/>
      <c r="E262" s="59"/>
      <c r="F262" s="59"/>
      <c r="G262" s="59"/>
      <c r="H262" s="59"/>
      <c r="I262" s="59"/>
      <c r="J262" s="59"/>
      <c r="K262" s="59"/>
      <c r="L262" s="59"/>
      <c r="M262" s="59"/>
      <c r="N262" s="59"/>
      <c r="O262" s="7"/>
      <c r="P262" s="6"/>
      <c r="Q262" s="6"/>
      <c r="R262" s="6"/>
      <c r="S262" s="6"/>
      <c r="T262" s="6"/>
      <c r="U262" s="6"/>
      <c r="V262" s="6"/>
      <c r="W262" s="6"/>
      <c r="X262" s="6"/>
      <c r="Y262" s="6"/>
      <c r="Z262" s="6"/>
      <c r="AA262" s="6"/>
    </row>
    <row r="263" ht="15.75" customHeight="1">
      <c r="A263" s="59"/>
      <c r="B263" s="59"/>
      <c r="C263" s="59"/>
      <c r="D263" s="59"/>
      <c r="E263" s="59"/>
      <c r="F263" s="59"/>
      <c r="G263" s="59"/>
      <c r="H263" s="59"/>
      <c r="I263" s="59"/>
      <c r="J263" s="59"/>
      <c r="K263" s="59"/>
      <c r="L263" s="59"/>
      <c r="M263" s="59"/>
      <c r="N263" s="59"/>
      <c r="O263" s="7"/>
      <c r="P263" s="6"/>
      <c r="Q263" s="6"/>
      <c r="R263" s="6"/>
      <c r="S263" s="6"/>
      <c r="T263" s="6"/>
      <c r="U263" s="6"/>
      <c r="V263" s="6"/>
      <c r="W263" s="6"/>
      <c r="X263" s="6"/>
      <c r="Y263" s="6"/>
      <c r="Z263" s="6"/>
      <c r="AA263" s="6"/>
    </row>
    <row r="264" ht="15.75" customHeight="1">
      <c r="A264" s="59"/>
      <c r="B264" s="59"/>
      <c r="C264" s="59"/>
      <c r="D264" s="59"/>
      <c r="E264" s="59"/>
      <c r="F264" s="59"/>
      <c r="G264" s="59"/>
      <c r="H264" s="59"/>
      <c r="I264" s="59"/>
      <c r="J264" s="59"/>
      <c r="K264" s="59"/>
      <c r="L264" s="59"/>
      <c r="M264" s="59"/>
      <c r="N264" s="59"/>
      <c r="O264" s="7"/>
      <c r="P264" s="6"/>
      <c r="Q264" s="6"/>
      <c r="R264" s="6"/>
      <c r="S264" s="6"/>
      <c r="T264" s="6"/>
      <c r="U264" s="6"/>
      <c r="V264" s="6"/>
      <c r="W264" s="6"/>
      <c r="X264" s="6"/>
      <c r="Y264" s="6"/>
      <c r="Z264" s="6"/>
      <c r="AA264" s="6"/>
    </row>
    <row r="265" ht="15.75" customHeight="1">
      <c r="A265" s="59"/>
      <c r="B265" s="59"/>
      <c r="C265" s="59"/>
      <c r="D265" s="59"/>
      <c r="E265" s="59"/>
      <c r="F265" s="59"/>
      <c r="G265" s="59"/>
      <c r="H265" s="59"/>
      <c r="I265" s="59"/>
      <c r="J265" s="59"/>
      <c r="K265" s="59"/>
      <c r="L265" s="59"/>
      <c r="M265" s="59"/>
      <c r="N265" s="59"/>
      <c r="O265" s="7"/>
      <c r="P265" s="6"/>
      <c r="Q265" s="6"/>
      <c r="R265" s="6"/>
      <c r="S265" s="6"/>
      <c r="T265" s="6"/>
      <c r="U265" s="6"/>
      <c r="V265" s="6"/>
      <c r="W265" s="6"/>
      <c r="X265" s="6"/>
      <c r="Y265" s="6"/>
      <c r="Z265" s="6"/>
      <c r="AA265" s="6"/>
    </row>
    <row r="266" ht="15.75" customHeight="1">
      <c r="A266" s="59"/>
      <c r="B266" s="59"/>
      <c r="C266" s="59"/>
      <c r="D266" s="59"/>
      <c r="E266" s="59"/>
      <c r="F266" s="59"/>
      <c r="G266" s="59"/>
      <c r="H266" s="59"/>
      <c r="I266" s="59"/>
      <c r="J266" s="59"/>
      <c r="K266" s="59"/>
      <c r="L266" s="59"/>
      <c r="M266" s="59"/>
      <c r="N266" s="59"/>
      <c r="O266" s="7"/>
      <c r="P266" s="6"/>
      <c r="Q266" s="6"/>
      <c r="R266" s="6"/>
      <c r="S266" s="6"/>
      <c r="T266" s="6"/>
      <c r="U266" s="6"/>
      <c r="V266" s="6"/>
      <c r="W266" s="6"/>
      <c r="X266" s="6"/>
      <c r="Y266" s="6"/>
      <c r="Z266" s="6"/>
      <c r="AA266" s="6"/>
    </row>
    <row r="267" ht="15.75" customHeight="1">
      <c r="A267" s="59"/>
      <c r="B267" s="59"/>
      <c r="C267" s="59"/>
      <c r="D267" s="59"/>
      <c r="E267" s="59"/>
      <c r="F267" s="59"/>
      <c r="G267" s="59"/>
      <c r="H267" s="59"/>
      <c r="I267" s="59"/>
      <c r="J267" s="59"/>
      <c r="K267" s="59"/>
      <c r="L267" s="59"/>
      <c r="M267" s="59"/>
      <c r="N267" s="59"/>
      <c r="O267" s="7"/>
      <c r="P267" s="6"/>
      <c r="Q267" s="6"/>
      <c r="R267" s="6"/>
      <c r="S267" s="6"/>
      <c r="T267" s="6"/>
      <c r="U267" s="6"/>
      <c r="V267" s="6"/>
      <c r="W267" s="6"/>
      <c r="X267" s="6"/>
      <c r="Y267" s="6"/>
      <c r="Z267" s="6"/>
      <c r="AA267" s="6"/>
    </row>
    <row r="268" ht="15.75" customHeight="1">
      <c r="A268" s="59"/>
      <c r="B268" s="59"/>
      <c r="C268" s="59"/>
      <c r="D268" s="59"/>
      <c r="E268" s="59"/>
      <c r="F268" s="59"/>
      <c r="G268" s="59"/>
      <c r="H268" s="59"/>
      <c r="I268" s="59"/>
      <c r="J268" s="59"/>
      <c r="K268" s="59"/>
      <c r="L268" s="59"/>
      <c r="M268" s="59"/>
      <c r="N268" s="59"/>
      <c r="O268" s="7"/>
      <c r="P268" s="6"/>
      <c r="Q268" s="6"/>
      <c r="R268" s="6"/>
      <c r="S268" s="6"/>
      <c r="T268" s="6"/>
      <c r="U268" s="6"/>
      <c r="V268" s="6"/>
      <c r="W268" s="6"/>
      <c r="X268" s="6"/>
      <c r="Y268" s="6"/>
      <c r="Z268" s="6"/>
      <c r="AA268" s="6"/>
    </row>
    <row r="269" ht="15.75" customHeight="1">
      <c r="A269" s="59"/>
      <c r="B269" s="59"/>
      <c r="C269" s="59"/>
      <c r="D269" s="59"/>
      <c r="E269" s="59"/>
      <c r="F269" s="59"/>
      <c r="G269" s="59"/>
      <c r="H269" s="59"/>
      <c r="I269" s="59"/>
      <c r="J269" s="59"/>
      <c r="K269" s="59"/>
      <c r="L269" s="59"/>
      <c r="M269" s="59"/>
      <c r="N269" s="59"/>
      <c r="O269" s="7"/>
      <c r="P269" s="6"/>
      <c r="Q269" s="6"/>
      <c r="R269" s="6"/>
      <c r="S269" s="6"/>
      <c r="T269" s="6"/>
      <c r="U269" s="6"/>
      <c r="V269" s="6"/>
      <c r="W269" s="6"/>
      <c r="X269" s="6"/>
      <c r="Y269" s="6"/>
      <c r="Z269" s="6"/>
      <c r="AA269" s="6"/>
    </row>
    <row r="270" ht="15.75" customHeight="1">
      <c r="A270" s="59"/>
      <c r="B270" s="59"/>
      <c r="C270" s="59"/>
      <c r="D270" s="59"/>
      <c r="E270" s="59"/>
      <c r="F270" s="59"/>
      <c r="G270" s="59"/>
      <c r="H270" s="59"/>
      <c r="I270" s="59"/>
      <c r="J270" s="59"/>
      <c r="K270" s="59"/>
      <c r="L270" s="59"/>
      <c r="M270" s="59"/>
      <c r="N270" s="59"/>
      <c r="O270" s="7"/>
      <c r="P270" s="6"/>
      <c r="Q270" s="6"/>
      <c r="R270" s="6"/>
      <c r="S270" s="6"/>
      <c r="T270" s="6"/>
      <c r="U270" s="6"/>
      <c r="V270" s="6"/>
      <c r="W270" s="6"/>
      <c r="X270" s="6"/>
      <c r="Y270" s="6"/>
      <c r="Z270" s="6"/>
      <c r="AA270" s="6"/>
    </row>
    <row r="271" ht="15.75" customHeight="1">
      <c r="A271" s="59"/>
      <c r="B271" s="59"/>
      <c r="C271" s="59"/>
      <c r="D271" s="59"/>
      <c r="E271" s="59"/>
      <c r="F271" s="59"/>
      <c r="G271" s="59"/>
      <c r="H271" s="59"/>
      <c r="I271" s="59"/>
      <c r="J271" s="59"/>
      <c r="K271" s="59"/>
      <c r="L271" s="59"/>
      <c r="M271" s="59"/>
      <c r="N271" s="59"/>
      <c r="O271" s="7"/>
      <c r="P271" s="6"/>
      <c r="Q271" s="6"/>
      <c r="R271" s="6"/>
      <c r="S271" s="6"/>
      <c r="T271" s="6"/>
      <c r="U271" s="6"/>
      <c r="V271" s="6"/>
      <c r="W271" s="6"/>
      <c r="X271" s="6"/>
      <c r="Y271" s="6"/>
      <c r="Z271" s="6"/>
      <c r="AA271" s="6"/>
    </row>
    <row r="272" ht="15.75" customHeight="1">
      <c r="A272" s="59"/>
      <c r="B272" s="59"/>
      <c r="C272" s="59"/>
      <c r="D272" s="59"/>
      <c r="E272" s="59"/>
      <c r="F272" s="59"/>
      <c r="G272" s="59"/>
      <c r="H272" s="59"/>
      <c r="I272" s="59"/>
      <c r="J272" s="59"/>
      <c r="K272" s="59"/>
      <c r="L272" s="59"/>
      <c r="M272" s="59"/>
      <c r="N272" s="59"/>
      <c r="O272" s="7"/>
      <c r="P272" s="6"/>
      <c r="Q272" s="6"/>
      <c r="R272" s="6"/>
      <c r="S272" s="6"/>
      <c r="T272" s="6"/>
      <c r="U272" s="6"/>
      <c r="V272" s="6"/>
      <c r="W272" s="6"/>
      <c r="X272" s="6"/>
      <c r="Y272" s="6"/>
      <c r="Z272" s="6"/>
      <c r="AA272" s="6"/>
    </row>
    <row r="273" ht="15.75" customHeight="1">
      <c r="A273" s="59"/>
      <c r="B273" s="59"/>
      <c r="C273" s="59"/>
      <c r="D273" s="59"/>
      <c r="E273" s="59"/>
      <c r="F273" s="59"/>
      <c r="G273" s="59"/>
      <c r="H273" s="59"/>
      <c r="I273" s="59"/>
      <c r="J273" s="59"/>
      <c r="K273" s="59"/>
      <c r="L273" s="59"/>
      <c r="M273" s="59"/>
      <c r="N273" s="59"/>
      <c r="O273" s="7"/>
      <c r="P273" s="6"/>
      <c r="Q273" s="6"/>
      <c r="R273" s="6"/>
      <c r="S273" s="6"/>
      <c r="T273" s="6"/>
      <c r="U273" s="6"/>
      <c r="V273" s="6"/>
      <c r="W273" s="6"/>
      <c r="X273" s="6"/>
      <c r="Y273" s="6"/>
      <c r="Z273" s="6"/>
      <c r="AA273" s="6"/>
    </row>
    <row r="274" ht="15.75" customHeight="1">
      <c r="A274" s="59"/>
      <c r="B274" s="59"/>
      <c r="C274" s="59"/>
      <c r="D274" s="59"/>
      <c r="E274" s="59"/>
      <c r="F274" s="59"/>
      <c r="G274" s="59"/>
      <c r="H274" s="59"/>
      <c r="I274" s="59"/>
      <c r="J274" s="59"/>
      <c r="K274" s="59"/>
      <c r="L274" s="59"/>
      <c r="M274" s="59"/>
      <c r="N274" s="59"/>
      <c r="O274" s="7"/>
      <c r="P274" s="6"/>
      <c r="Q274" s="6"/>
      <c r="R274" s="6"/>
      <c r="S274" s="6"/>
      <c r="T274" s="6"/>
      <c r="U274" s="6"/>
      <c r="V274" s="6"/>
      <c r="W274" s="6"/>
      <c r="X274" s="6"/>
      <c r="Y274" s="6"/>
      <c r="Z274" s="6"/>
      <c r="AA274" s="6"/>
    </row>
    <row r="275" ht="15.75" customHeight="1">
      <c r="A275" s="59"/>
      <c r="B275" s="59"/>
      <c r="C275" s="59"/>
      <c r="D275" s="59"/>
      <c r="E275" s="59"/>
      <c r="F275" s="59"/>
      <c r="G275" s="59"/>
      <c r="H275" s="59"/>
      <c r="I275" s="59"/>
      <c r="J275" s="59"/>
      <c r="K275" s="59"/>
      <c r="L275" s="59"/>
      <c r="M275" s="59"/>
      <c r="N275" s="59"/>
      <c r="O275" s="7"/>
      <c r="P275" s="6"/>
      <c r="Q275" s="6"/>
      <c r="R275" s="6"/>
      <c r="S275" s="6"/>
      <c r="T275" s="6"/>
      <c r="U275" s="6"/>
      <c r="V275" s="6"/>
      <c r="W275" s="6"/>
      <c r="X275" s="6"/>
      <c r="Y275" s="6"/>
      <c r="Z275" s="6"/>
      <c r="AA275" s="6"/>
    </row>
    <row r="276" ht="15.75" customHeight="1">
      <c r="A276" s="59"/>
      <c r="B276" s="59"/>
      <c r="C276" s="59"/>
      <c r="D276" s="59"/>
      <c r="E276" s="59"/>
      <c r="F276" s="59"/>
      <c r="G276" s="59"/>
      <c r="H276" s="59"/>
      <c r="I276" s="59"/>
      <c r="J276" s="59"/>
      <c r="K276" s="59"/>
      <c r="L276" s="59"/>
      <c r="M276" s="59"/>
      <c r="N276" s="59"/>
      <c r="O276" s="7"/>
      <c r="P276" s="6"/>
      <c r="Q276" s="6"/>
      <c r="R276" s="6"/>
      <c r="S276" s="6"/>
      <c r="T276" s="6"/>
      <c r="U276" s="6"/>
      <c r="V276" s="6"/>
      <c r="W276" s="6"/>
      <c r="X276" s="6"/>
      <c r="Y276" s="6"/>
      <c r="Z276" s="6"/>
      <c r="AA276" s="6"/>
    </row>
    <row r="277" ht="15.75" customHeight="1">
      <c r="A277" s="59"/>
      <c r="B277" s="59"/>
      <c r="C277" s="59"/>
      <c r="D277" s="59"/>
      <c r="E277" s="59"/>
      <c r="F277" s="59"/>
      <c r="G277" s="59"/>
      <c r="H277" s="59"/>
      <c r="I277" s="59"/>
      <c r="J277" s="59"/>
      <c r="K277" s="59"/>
      <c r="L277" s="59"/>
      <c r="M277" s="59"/>
      <c r="N277" s="59"/>
      <c r="O277" s="7"/>
      <c r="P277" s="6"/>
      <c r="Q277" s="6"/>
      <c r="R277" s="6"/>
      <c r="S277" s="6"/>
      <c r="T277" s="6"/>
      <c r="U277" s="6"/>
      <c r="V277" s="6"/>
      <c r="W277" s="6"/>
      <c r="X277" s="6"/>
      <c r="Y277" s="6"/>
      <c r="Z277" s="6"/>
      <c r="AA277" s="6"/>
    </row>
    <row r="278" ht="15.75" customHeight="1">
      <c r="A278" s="59"/>
      <c r="B278" s="59"/>
      <c r="C278" s="59"/>
      <c r="D278" s="59"/>
      <c r="E278" s="59"/>
      <c r="F278" s="59"/>
      <c r="G278" s="59"/>
      <c r="H278" s="59"/>
      <c r="I278" s="59"/>
      <c r="J278" s="59"/>
      <c r="K278" s="59"/>
      <c r="L278" s="59"/>
      <c r="M278" s="59"/>
      <c r="N278" s="59"/>
      <c r="O278" s="7"/>
      <c r="P278" s="6"/>
      <c r="Q278" s="6"/>
      <c r="R278" s="6"/>
      <c r="S278" s="6"/>
      <c r="T278" s="6"/>
      <c r="U278" s="6"/>
      <c r="V278" s="6"/>
      <c r="W278" s="6"/>
      <c r="X278" s="6"/>
      <c r="Y278" s="6"/>
      <c r="Z278" s="6"/>
      <c r="AA278" s="6"/>
    </row>
    <row r="279" ht="15.75" customHeight="1">
      <c r="A279" s="59"/>
      <c r="B279" s="59"/>
      <c r="C279" s="59"/>
      <c r="D279" s="59"/>
      <c r="E279" s="59"/>
      <c r="F279" s="59"/>
      <c r="G279" s="59"/>
      <c r="H279" s="59"/>
      <c r="I279" s="59"/>
      <c r="J279" s="59"/>
      <c r="K279" s="59"/>
      <c r="L279" s="59"/>
      <c r="M279" s="59"/>
      <c r="N279" s="59"/>
      <c r="O279" s="7"/>
      <c r="P279" s="6"/>
      <c r="Q279" s="6"/>
      <c r="R279" s="6"/>
      <c r="S279" s="6"/>
      <c r="T279" s="6"/>
      <c r="U279" s="6"/>
      <c r="V279" s="6"/>
      <c r="W279" s="6"/>
      <c r="X279" s="6"/>
      <c r="Y279" s="6"/>
      <c r="Z279" s="6"/>
      <c r="AA279" s="6"/>
    </row>
    <row r="280" ht="15.75" customHeight="1">
      <c r="A280" s="59"/>
      <c r="B280" s="59"/>
      <c r="C280" s="59"/>
      <c r="D280" s="59"/>
      <c r="E280" s="59"/>
      <c r="F280" s="59"/>
      <c r="G280" s="59"/>
      <c r="H280" s="59"/>
      <c r="I280" s="59"/>
      <c r="J280" s="59"/>
      <c r="K280" s="59"/>
      <c r="L280" s="59"/>
      <c r="M280" s="59"/>
      <c r="N280" s="59"/>
      <c r="O280" s="7"/>
      <c r="P280" s="6"/>
      <c r="Q280" s="6"/>
      <c r="R280" s="6"/>
      <c r="S280" s="6"/>
      <c r="T280" s="6"/>
      <c r="U280" s="6"/>
      <c r="V280" s="6"/>
      <c r="W280" s="6"/>
      <c r="X280" s="6"/>
      <c r="Y280" s="6"/>
      <c r="Z280" s="6"/>
      <c r="AA280" s="6"/>
    </row>
    <row r="281" ht="15.75" customHeight="1">
      <c r="A281" s="59"/>
      <c r="B281" s="59"/>
      <c r="C281" s="59"/>
      <c r="D281" s="59"/>
      <c r="E281" s="59"/>
      <c r="F281" s="59"/>
      <c r="G281" s="59"/>
      <c r="H281" s="59"/>
      <c r="I281" s="59"/>
      <c r="J281" s="59"/>
      <c r="K281" s="59"/>
      <c r="L281" s="59"/>
      <c r="M281" s="59"/>
      <c r="N281" s="59"/>
      <c r="O281" s="7"/>
      <c r="P281" s="6"/>
      <c r="Q281" s="6"/>
      <c r="R281" s="6"/>
      <c r="S281" s="6"/>
      <c r="T281" s="6"/>
      <c r="U281" s="6"/>
      <c r="V281" s="6"/>
      <c r="W281" s="6"/>
      <c r="X281" s="6"/>
      <c r="Y281" s="6"/>
      <c r="Z281" s="6"/>
      <c r="AA281" s="6"/>
    </row>
    <row r="282" ht="15.75" customHeight="1">
      <c r="A282" s="59"/>
      <c r="B282" s="59"/>
      <c r="C282" s="59"/>
      <c r="D282" s="59"/>
      <c r="E282" s="59"/>
      <c r="F282" s="59"/>
      <c r="G282" s="59"/>
      <c r="H282" s="59"/>
      <c r="I282" s="59"/>
      <c r="J282" s="59"/>
      <c r="K282" s="59"/>
      <c r="L282" s="59"/>
      <c r="M282" s="59"/>
      <c r="N282" s="59"/>
      <c r="O282" s="7"/>
      <c r="P282" s="6"/>
      <c r="Q282" s="6"/>
      <c r="R282" s="6"/>
      <c r="S282" s="6"/>
      <c r="T282" s="6"/>
      <c r="U282" s="6"/>
      <c r="V282" s="6"/>
      <c r="W282" s="6"/>
      <c r="X282" s="6"/>
      <c r="Y282" s="6"/>
      <c r="Z282" s="6"/>
      <c r="AA282" s="6"/>
    </row>
    <row r="283" ht="15.75" customHeight="1">
      <c r="A283" s="59"/>
      <c r="B283" s="59"/>
      <c r="C283" s="59"/>
      <c r="D283" s="59"/>
      <c r="E283" s="59"/>
      <c r="F283" s="59"/>
      <c r="G283" s="59"/>
      <c r="H283" s="59"/>
      <c r="I283" s="59"/>
      <c r="J283" s="59"/>
      <c r="K283" s="59"/>
      <c r="L283" s="59"/>
      <c r="M283" s="59"/>
      <c r="N283" s="59"/>
      <c r="O283" s="7"/>
      <c r="P283" s="6"/>
      <c r="Q283" s="6"/>
      <c r="R283" s="6"/>
      <c r="S283" s="6"/>
      <c r="T283" s="6"/>
      <c r="U283" s="6"/>
      <c r="V283" s="6"/>
      <c r="W283" s="6"/>
      <c r="X283" s="6"/>
      <c r="Y283" s="6"/>
      <c r="Z283" s="6"/>
      <c r="AA283" s="6"/>
    </row>
    <row r="284" ht="15.75" customHeight="1">
      <c r="A284" s="59"/>
      <c r="B284" s="59"/>
      <c r="C284" s="59"/>
      <c r="D284" s="59"/>
      <c r="E284" s="59"/>
      <c r="F284" s="59"/>
      <c r="G284" s="59"/>
      <c r="H284" s="59"/>
      <c r="I284" s="59"/>
      <c r="J284" s="59"/>
      <c r="K284" s="59"/>
      <c r="L284" s="59"/>
      <c r="M284" s="59"/>
      <c r="N284" s="59"/>
      <c r="O284" s="7"/>
      <c r="P284" s="6"/>
      <c r="Q284" s="6"/>
      <c r="R284" s="6"/>
      <c r="S284" s="6"/>
      <c r="T284" s="6"/>
      <c r="U284" s="6"/>
      <c r="V284" s="6"/>
      <c r="W284" s="6"/>
      <c r="X284" s="6"/>
      <c r="Y284" s="6"/>
      <c r="Z284" s="6"/>
      <c r="AA284" s="6"/>
    </row>
    <row r="285" ht="15.75" customHeight="1">
      <c r="A285" s="59"/>
      <c r="B285" s="59"/>
      <c r="C285" s="59"/>
      <c r="D285" s="59"/>
      <c r="E285" s="59"/>
      <c r="F285" s="59"/>
      <c r="G285" s="59"/>
      <c r="H285" s="59"/>
      <c r="I285" s="59"/>
      <c r="J285" s="59"/>
      <c r="K285" s="59"/>
      <c r="L285" s="59"/>
      <c r="M285" s="59"/>
      <c r="N285" s="59"/>
      <c r="O285" s="7"/>
      <c r="P285" s="6"/>
      <c r="Q285" s="6"/>
      <c r="R285" s="6"/>
      <c r="S285" s="6"/>
      <c r="T285" s="6"/>
      <c r="U285" s="6"/>
      <c r="V285" s="6"/>
      <c r="W285" s="6"/>
      <c r="X285" s="6"/>
      <c r="Y285" s="6"/>
      <c r="Z285" s="6"/>
      <c r="AA285" s="6"/>
    </row>
    <row r="286" ht="15.75" customHeight="1">
      <c r="A286" s="59"/>
      <c r="B286" s="59"/>
      <c r="C286" s="59"/>
      <c r="D286" s="59"/>
      <c r="E286" s="59"/>
      <c r="F286" s="59"/>
      <c r="G286" s="59"/>
      <c r="H286" s="59"/>
      <c r="I286" s="59"/>
      <c r="J286" s="59"/>
      <c r="K286" s="59"/>
      <c r="L286" s="59"/>
      <c r="M286" s="59"/>
      <c r="N286" s="59"/>
      <c r="O286" s="7"/>
      <c r="P286" s="6"/>
      <c r="Q286" s="6"/>
      <c r="R286" s="6"/>
      <c r="S286" s="6"/>
      <c r="T286" s="6"/>
      <c r="U286" s="6"/>
      <c r="V286" s="6"/>
      <c r="W286" s="6"/>
      <c r="X286" s="6"/>
      <c r="Y286" s="6"/>
      <c r="Z286" s="6"/>
      <c r="AA286" s="6"/>
    </row>
    <row r="287" ht="15.75" customHeight="1">
      <c r="A287" s="59"/>
      <c r="B287" s="59"/>
      <c r="C287" s="59"/>
      <c r="D287" s="59"/>
      <c r="E287" s="59"/>
      <c r="F287" s="59"/>
      <c r="G287" s="59"/>
      <c r="H287" s="59"/>
      <c r="I287" s="59"/>
      <c r="J287" s="59"/>
      <c r="K287" s="59"/>
      <c r="L287" s="59"/>
      <c r="M287" s="59"/>
      <c r="N287" s="59"/>
      <c r="O287" s="7"/>
      <c r="P287" s="6"/>
      <c r="Q287" s="6"/>
      <c r="R287" s="6"/>
      <c r="S287" s="6"/>
      <c r="T287" s="6"/>
      <c r="U287" s="6"/>
      <c r="V287" s="6"/>
      <c r="W287" s="6"/>
      <c r="X287" s="6"/>
      <c r="Y287" s="6"/>
      <c r="Z287" s="6"/>
      <c r="AA287" s="6"/>
    </row>
    <row r="288" ht="15.75" customHeight="1">
      <c r="A288" s="59"/>
      <c r="B288" s="59"/>
      <c r="C288" s="59"/>
      <c r="D288" s="59"/>
      <c r="E288" s="59"/>
      <c r="F288" s="59"/>
      <c r="G288" s="59"/>
      <c r="H288" s="59"/>
      <c r="I288" s="59"/>
      <c r="J288" s="59"/>
      <c r="K288" s="59"/>
      <c r="L288" s="59"/>
      <c r="M288" s="59"/>
      <c r="N288" s="59"/>
      <c r="O288" s="7"/>
      <c r="P288" s="6"/>
      <c r="Q288" s="6"/>
      <c r="R288" s="6"/>
      <c r="S288" s="6"/>
      <c r="T288" s="6"/>
      <c r="U288" s="6"/>
      <c r="V288" s="6"/>
      <c r="W288" s="6"/>
      <c r="X288" s="6"/>
      <c r="Y288" s="6"/>
      <c r="Z288" s="6"/>
      <c r="AA288" s="6"/>
    </row>
    <row r="289" ht="15.75" customHeight="1">
      <c r="A289" s="59"/>
      <c r="B289" s="59"/>
      <c r="C289" s="59"/>
      <c r="D289" s="59"/>
      <c r="E289" s="59"/>
      <c r="F289" s="59"/>
      <c r="G289" s="59"/>
      <c r="H289" s="59"/>
      <c r="I289" s="59"/>
      <c r="J289" s="59"/>
      <c r="K289" s="59"/>
      <c r="L289" s="59"/>
      <c r="M289" s="59"/>
      <c r="N289" s="59"/>
      <c r="O289" s="7"/>
      <c r="P289" s="6"/>
      <c r="Q289" s="6"/>
      <c r="R289" s="6"/>
      <c r="S289" s="6"/>
      <c r="T289" s="6"/>
      <c r="U289" s="6"/>
      <c r="V289" s="6"/>
      <c r="W289" s="6"/>
      <c r="X289" s="6"/>
      <c r="Y289" s="6"/>
      <c r="Z289" s="6"/>
      <c r="AA289" s="6"/>
    </row>
    <row r="290" ht="15.75" customHeight="1">
      <c r="A290" s="59"/>
      <c r="B290" s="59"/>
      <c r="C290" s="59"/>
      <c r="D290" s="59"/>
      <c r="E290" s="59"/>
      <c r="F290" s="59"/>
      <c r="G290" s="59"/>
      <c r="H290" s="59"/>
      <c r="I290" s="59"/>
      <c r="J290" s="59"/>
      <c r="K290" s="59"/>
      <c r="L290" s="59"/>
      <c r="M290" s="59"/>
      <c r="N290" s="59"/>
      <c r="O290" s="7"/>
      <c r="P290" s="6"/>
      <c r="Q290" s="6"/>
      <c r="R290" s="6"/>
      <c r="S290" s="6"/>
      <c r="T290" s="6"/>
      <c r="U290" s="6"/>
      <c r="V290" s="6"/>
      <c r="W290" s="6"/>
      <c r="X290" s="6"/>
      <c r="Y290" s="6"/>
      <c r="Z290" s="6"/>
      <c r="AA290" s="6"/>
    </row>
    <row r="291" ht="15.75" customHeight="1">
      <c r="A291" s="59"/>
      <c r="B291" s="59"/>
      <c r="C291" s="59"/>
      <c r="D291" s="59"/>
      <c r="E291" s="59"/>
      <c r="F291" s="59"/>
      <c r="G291" s="59"/>
      <c r="H291" s="59"/>
      <c r="I291" s="59"/>
      <c r="J291" s="59"/>
      <c r="K291" s="59"/>
      <c r="L291" s="59"/>
      <c r="M291" s="59"/>
      <c r="N291" s="59"/>
      <c r="O291" s="7"/>
      <c r="P291" s="6"/>
      <c r="Q291" s="6"/>
      <c r="R291" s="6"/>
      <c r="S291" s="6"/>
      <c r="T291" s="6"/>
      <c r="U291" s="6"/>
      <c r="V291" s="6"/>
      <c r="W291" s="6"/>
      <c r="X291" s="6"/>
      <c r="Y291" s="6"/>
      <c r="Z291" s="6"/>
      <c r="AA291" s="6"/>
    </row>
    <row r="292" ht="15.75" customHeight="1">
      <c r="A292" s="59"/>
      <c r="B292" s="59"/>
      <c r="C292" s="59"/>
      <c r="D292" s="59"/>
      <c r="E292" s="59"/>
      <c r="F292" s="59"/>
      <c r="G292" s="59"/>
      <c r="H292" s="59"/>
      <c r="I292" s="59"/>
      <c r="J292" s="59"/>
      <c r="K292" s="59"/>
      <c r="L292" s="59"/>
      <c r="M292" s="59"/>
      <c r="N292" s="59"/>
      <c r="O292" s="7"/>
      <c r="P292" s="6"/>
      <c r="Q292" s="6"/>
      <c r="R292" s="6"/>
      <c r="S292" s="6"/>
      <c r="T292" s="6"/>
      <c r="U292" s="6"/>
      <c r="V292" s="6"/>
      <c r="W292" s="6"/>
      <c r="X292" s="6"/>
      <c r="Y292" s="6"/>
      <c r="Z292" s="6"/>
      <c r="AA292" s="6"/>
    </row>
    <row r="293" ht="15.75" customHeight="1">
      <c r="A293" s="59"/>
      <c r="B293" s="59"/>
      <c r="C293" s="59"/>
      <c r="D293" s="59"/>
      <c r="E293" s="59"/>
      <c r="F293" s="59"/>
      <c r="G293" s="59"/>
      <c r="H293" s="59"/>
      <c r="I293" s="59"/>
      <c r="J293" s="59"/>
      <c r="K293" s="59"/>
      <c r="L293" s="59"/>
      <c r="M293" s="59"/>
      <c r="N293" s="59"/>
      <c r="O293" s="7"/>
      <c r="P293" s="6"/>
      <c r="Q293" s="6"/>
      <c r="R293" s="6"/>
      <c r="S293" s="6"/>
      <c r="T293" s="6"/>
      <c r="U293" s="6"/>
      <c r="V293" s="6"/>
      <c r="W293" s="6"/>
      <c r="X293" s="6"/>
      <c r="Y293" s="6"/>
      <c r="Z293" s="6"/>
      <c r="AA293" s="6"/>
    </row>
    <row r="294" ht="15.75" customHeight="1">
      <c r="A294" s="59"/>
      <c r="B294" s="59"/>
      <c r="C294" s="59"/>
      <c r="D294" s="59"/>
      <c r="E294" s="59"/>
      <c r="F294" s="59"/>
      <c r="G294" s="59"/>
      <c r="H294" s="59"/>
      <c r="I294" s="59"/>
      <c r="J294" s="59"/>
      <c r="K294" s="59"/>
      <c r="L294" s="59"/>
      <c r="M294" s="59"/>
      <c r="N294" s="59"/>
      <c r="O294" s="7"/>
      <c r="P294" s="6"/>
      <c r="Q294" s="6"/>
      <c r="R294" s="6"/>
      <c r="S294" s="6"/>
      <c r="T294" s="6"/>
      <c r="U294" s="6"/>
      <c r="V294" s="6"/>
      <c r="W294" s="6"/>
      <c r="X294" s="6"/>
      <c r="Y294" s="6"/>
      <c r="Z294" s="6"/>
      <c r="AA294" s="6"/>
    </row>
    <row r="295" ht="15.75" customHeight="1">
      <c r="A295" s="59"/>
      <c r="B295" s="59"/>
      <c r="C295" s="59"/>
      <c r="D295" s="59"/>
      <c r="E295" s="59"/>
      <c r="F295" s="59"/>
      <c r="G295" s="59"/>
      <c r="H295" s="59"/>
      <c r="I295" s="59"/>
      <c r="J295" s="59"/>
      <c r="K295" s="59"/>
      <c r="L295" s="59"/>
      <c r="M295" s="59"/>
      <c r="N295" s="59"/>
      <c r="O295" s="7"/>
      <c r="P295" s="6"/>
      <c r="Q295" s="6"/>
      <c r="R295" s="6"/>
      <c r="S295" s="6"/>
      <c r="T295" s="6"/>
      <c r="U295" s="6"/>
      <c r="V295" s="6"/>
      <c r="W295" s="6"/>
      <c r="X295" s="6"/>
      <c r="Y295" s="6"/>
      <c r="Z295" s="6"/>
      <c r="AA295" s="6"/>
    </row>
    <row r="296" ht="15.75" customHeight="1">
      <c r="A296" s="59"/>
      <c r="B296" s="59"/>
      <c r="C296" s="59"/>
      <c r="D296" s="59"/>
      <c r="E296" s="59"/>
      <c r="F296" s="59"/>
      <c r="G296" s="59"/>
      <c r="H296" s="59"/>
      <c r="I296" s="59"/>
      <c r="J296" s="59"/>
      <c r="K296" s="59"/>
      <c r="L296" s="59"/>
      <c r="M296" s="59"/>
      <c r="N296" s="59"/>
      <c r="O296" s="7"/>
      <c r="P296" s="6"/>
      <c r="Q296" s="6"/>
      <c r="R296" s="6"/>
      <c r="S296" s="6"/>
      <c r="T296" s="6"/>
      <c r="U296" s="6"/>
      <c r="V296" s="6"/>
      <c r="W296" s="6"/>
      <c r="X296" s="6"/>
      <c r="Y296" s="6"/>
      <c r="Z296" s="6"/>
      <c r="AA296" s="6"/>
    </row>
    <row r="297" ht="15.75" customHeight="1">
      <c r="A297" s="59"/>
      <c r="B297" s="59"/>
      <c r="C297" s="59"/>
      <c r="D297" s="59"/>
      <c r="E297" s="59"/>
      <c r="F297" s="59"/>
      <c r="G297" s="59"/>
      <c r="H297" s="59"/>
      <c r="I297" s="59"/>
      <c r="J297" s="59"/>
      <c r="K297" s="59"/>
      <c r="L297" s="59"/>
      <c r="M297" s="59"/>
      <c r="N297" s="59"/>
      <c r="O297" s="7"/>
      <c r="P297" s="6"/>
      <c r="Q297" s="6"/>
      <c r="R297" s="6"/>
      <c r="S297" s="6"/>
      <c r="T297" s="6"/>
      <c r="U297" s="6"/>
      <c r="V297" s="6"/>
      <c r="W297" s="6"/>
      <c r="X297" s="6"/>
      <c r="Y297" s="6"/>
      <c r="Z297" s="6"/>
      <c r="AA297" s="6"/>
    </row>
    <row r="298" ht="15.75" customHeight="1">
      <c r="A298" s="59"/>
      <c r="B298" s="59"/>
      <c r="C298" s="59"/>
      <c r="D298" s="59"/>
      <c r="E298" s="59"/>
      <c r="F298" s="59"/>
      <c r="G298" s="59"/>
      <c r="H298" s="59"/>
      <c r="I298" s="59"/>
      <c r="J298" s="59"/>
      <c r="K298" s="59"/>
      <c r="L298" s="59"/>
      <c r="M298" s="59"/>
      <c r="N298" s="59"/>
      <c r="O298" s="7"/>
      <c r="P298" s="6"/>
      <c r="Q298" s="6"/>
      <c r="R298" s="6"/>
      <c r="S298" s="6"/>
      <c r="T298" s="6"/>
      <c r="U298" s="6"/>
      <c r="V298" s="6"/>
      <c r="W298" s="6"/>
      <c r="X298" s="6"/>
      <c r="Y298" s="6"/>
      <c r="Z298" s="6"/>
      <c r="AA298" s="6"/>
    </row>
    <row r="299" ht="15.75" customHeight="1">
      <c r="A299" s="59"/>
      <c r="B299" s="59"/>
      <c r="C299" s="59"/>
      <c r="D299" s="59"/>
      <c r="E299" s="59"/>
      <c r="F299" s="59"/>
      <c r="G299" s="59"/>
      <c r="H299" s="59"/>
      <c r="I299" s="59"/>
      <c r="J299" s="59"/>
      <c r="K299" s="59"/>
      <c r="L299" s="59"/>
      <c r="M299" s="59"/>
      <c r="N299" s="59"/>
      <c r="O299" s="7"/>
      <c r="P299" s="6"/>
      <c r="Q299" s="6"/>
      <c r="R299" s="6"/>
      <c r="S299" s="6"/>
      <c r="T299" s="6"/>
      <c r="U299" s="6"/>
      <c r="V299" s="6"/>
      <c r="W299" s="6"/>
      <c r="X299" s="6"/>
      <c r="Y299" s="6"/>
      <c r="Z299" s="6"/>
      <c r="AA299" s="6"/>
    </row>
    <row r="300" ht="15.75" customHeight="1">
      <c r="A300" s="59"/>
      <c r="B300" s="59"/>
      <c r="C300" s="59"/>
      <c r="D300" s="59"/>
      <c r="E300" s="59"/>
      <c r="F300" s="59"/>
      <c r="G300" s="59"/>
      <c r="H300" s="59"/>
      <c r="I300" s="59"/>
      <c r="J300" s="59"/>
      <c r="K300" s="59"/>
      <c r="L300" s="59"/>
      <c r="M300" s="59"/>
      <c r="N300" s="59"/>
      <c r="O300" s="7"/>
      <c r="P300" s="6"/>
      <c r="Q300" s="6"/>
      <c r="R300" s="6"/>
      <c r="S300" s="6"/>
      <c r="T300" s="6"/>
      <c r="U300" s="6"/>
      <c r="V300" s="6"/>
      <c r="W300" s="6"/>
      <c r="X300" s="6"/>
      <c r="Y300" s="6"/>
      <c r="Z300" s="6"/>
      <c r="AA300" s="6"/>
    </row>
    <row r="301" ht="15.75" customHeight="1">
      <c r="A301" s="59"/>
      <c r="B301" s="59"/>
      <c r="C301" s="59"/>
      <c r="D301" s="59"/>
      <c r="E301" s="59"/>
      <c r="F301" s="59"/>
      <c r="G301" s="59"/>
      <c r="H301" s="59"/>
      <c r="I301" s="59"/>
      <c r="J301" s="59"/>
      <c r="K301" s="59"/>
      <c r="L301" s="59"/>
      <c r="M301" s="59"/>
      <c r="N301" s="59"/>
      <c r="O301" s="7"/>
      <c r="P301" s="6"/>
      <c r="Q301" s="6"/>
      <c r="R301" s="6"/>
      <c r="S301" s="6"/>
      <c r="T301" s="6"/>
      <c r="U301" s="6"/>
      <c r="V301" s="6"/>
      <c r="W301" s="6"/>
      <c r="X301" s="6"/>
      <c r="Y301" s="6"/>
      <c r="Z301" s="6"/>
      <c r="AA301" s="6"/>
    </row>
    <row r="302" ht="15.75" customHeight="1">
      <c r="A302" s="59"/>
      <c r="B302" s="59"/>
      <c r="C302" s="59"/>
      <c r="D302" s="59"/>
      <c r="E302" s="59"/>
      <c r="F302" s="59"/>
      <c r="G302" s="59"/>
      <c r="H302" s="59"/>
      <c r="I302" s="59"/>
      <c r="J302" s="59"/>
      <c r="K302" s="59"/>
      <c r="L302" s="59"/>
      <c r="M302" s="59"/>
      <c r="N302" s="59"/>
      <c r="O302" s="7"/>
      <c r="P302" s="6"/>
      <c r="Q302" s="6"/>
      <c r="R302" s="6"/>
      <c r="S302" s="6"/>
      <c r="T302" s="6"/>
      <c r="U302" s="6"/>
      <c r="V302" s="6"/>
      <c r="W302" s="6"/>
      <c r="X302" s="6"/>
      <c r="Y302" s="6"/>
      <c r="Z302" s="6"/>
      <c r="AA302" s="6"/>
    </row>
    <row r="303" ht="15.75" customHeight="1">
      <c r="A303" s="59"/>
      <c r="B303" s="59"/>
      <c r="C303" s="59"/>
      <c r="D303" s="59"/>
      <c r="E303" s="59"/>
      <c r="F303" s="59"/>
      <c r="G303" s="59"/>
      <c r="H303" s="59"/>
      <c r="I303" s="59"/>
      <c r="J303" s="59"/>
      <c r="K303" s="59"/>
      <c r="L303" s="59"/>
      <c r="M303" s="59"/>
      <c r="N303" s="59"/>
      <c r="O303" s="7"/>
      <c r="P303" s="6"/>
      <c r="Q303" s="6"/>
      <c r="R303" s="6"/>
      <c r="S303" s="6"/>
      <c r="T303" s="6"/>
      <c r="U303" s="6"/>
      <c r="V303" s="6"/>
      <c r="W303" s="6"/>
      <c r="X303" s="6"/>
      <c r="Y303" s="6"/>
      <c r="Z303" s="6"/>
      <c r="AA303" s="6"/>
    </row>
    <row r="304" ht="15.75" customHeight="1">
      <c r="A304" s="59"/>
      <c r="B304" s="59"/>
      <c r="C304" s="59"/>
      <c r="D304" s="59"/>
      <c r="E304" s="59"/>
      <c r="F304" s="59"/>
      <c r="G304" s="59"/>
      <c r="H304" s="59"/>
      <c r="I304" s="59"/>
      <c r="J304" s="59"/>
      <c r="K304" s="59"/>
      <c r="L304" s="59"/>
      <c r="M304" s="59"/>
      <c r="N304" s="59"/>
      <c r="O304" s="7"/>
      <c r="P304" s="6"/>
      <c r="Q304" s="6"/>
      <c r="R304" s="6"/>
      <c r="S304" s="6"/>
      <c r="T304" s="6"/>
      <c r="U304" s="6"/>
      <c r="V304" s="6"/>
      <c r="W304" s="6"/>
      <c r="X304" s="6"/>
      <c r="Y304" s="6"/>
      <c r="Z304" s="6"/>
      <c r="AA304" s="6"/>
    </row>
    <row r="305" ht="15.75" customHeight="1">
      <c r="A305" s="59"/>
      <c r="B305" s="59"/>
      <c r="C305" s="59"/>
      <c r="D305" s="59"/>
      <c r="E305" s="59"/>
      <c r="F305" s="59"/>
      <c r="G305" s="59"/>
      <c r="H305" s="59"/>
      <c r="I305" s="59"/>
      <c r="J305" s="59"/>
      <c r="K305" s="59"/>
      <c r="L305" s="59"/>
      <c r="M305" s="59"/>
      <c r="N305" s="59"/>
      <c r="O305" s="7"/>
      <c r="P305" s="6"/>
      <c r="Q305" s="6"/>
      <c r="R305" s="6"/>
      <c r="S305" s="6"/>
      <c r="T305" s="6"/>
      <c r="U305" s="6"/>
      <c r="V305" s="6"/>
      <c r="W305" s="6"/>
      <c r="X305" s="6"/>
      <c r="Y305" s="6"/>
      <c r="Z305" s="6"/>
      <c r="AA305" s="6"/>
    </row>
    <row r="306" ht="15.75" customHeight="1">
      <c r="A306" s="59"/>
      <c r="B306" s="59"/>
      <c r="C306" s="59"/>
      <c r="D306" s="59"/>
      <c r="E306" s="59"/>
      <c r="F306" s="59"/>
      <c r="G306" s="59"/>
      <c r="H306" s="59"/>
      <c r="I306" s="59"/>
      <c r="J306" s="59"/>
      <c r="K306" s="59"/>
      <c r="L306" s="59"/>
      <c r="M306" s="59"/>
      <c r="N306" s="59"/>
      <c r="O306" s="7"/>
      <c r="P306" s="6"/>
      <c r="Q306" s="6"/>
      <c r="R306" s="6"/>
      <c r="S306" s="6"/>
      <c r="T306" s="6"/>
      <c r="U306" s="6"/>
      <c r="V306" s="6"/>
      <c r="W306" s="6"/>
      <c r="X306" s="6"/>
      <c r="Y306" s="6"/>
      <c r="Z306" s="6"/>
      <c r="AA306" s="6"/>
    </row>
    <row r="307" ht="15.75" customHeight="1">
      <c r="A307" s="59"/>
      <c r="B307" s="59"/>
      <c r="C307" s="59"/>
      <c r="D307" s="59"/>
      <c r="E307" s="59"/>
      <c r="F307" s="59"/>
      <c r="G307" s="59"/>
      <c r="H307" s="59"/>
      <c r="I307" s="59"/>
      <c r="J307" s="59"/>
      <c r="K307" s="59"/>
      <c r="L307" s="59"/>
      <c r="M307" s="59"/>
      <c r="N307" s="59"/>
      <c r="O307" s="7"/>
      <c r="P307" s="6"/>
      <c r="Q307" s="6"/>
      <c r="R307" s="6"/>
      <c r="S307" s="6"/>
      <c r="T307" s="6"/>
      <c r="U307" s="6"/>
      <c r="V307" s="6"/>
      <c r="W307" s="6"/>
      <c r="X307" s="6"/>
      <c r="Y307" s="6"/>
      <c r="Z307" s="6"/>
      <c r="AA307" s="6"/>
    </row>
    <row r="308" ht="15.75" customHeight="1">
      <c r="A308" s="59"/>
      <c r="B308" s="59"/>
      <c r="C308" s="59"/>
      <c r="D308" s="59"/>
      <c r="E308" s="59"/>
      <c r="F308" s="59"/>
      <c r="G308" s="59"/>
      <c r="H308" s="59"/>
      <c r="I308" s="59"/>
      <c r="J308" s="59"/>
      <c r="K308" s="59"/>
      <c r="L308" s="59"/>
      <c r="M308" s="59"/>
      <c r="N308" s="59"/>
      <c r="O308" s="7"/>
      <c r="P308" s="6"/>
      <c r="Q308" s="6"/>
      <c r="R308" s="6"/>
      <c r="S308" s="6"/>
      <c r="T308" s="6"/>
      <c r="U308" s="6"/>
      <c r="V308" s="6"/>
      <c r="W308" s="6"/>
      <c r="X308" s="6"/>
      <c r="Y308" s="6"/>
      <c r="Z308" s="6"/>
      <c r="AA308" s="6"/>
    </row>
    <row r="309" ht="15.75" customHeight="1">
      <c r="A309" s="59"/>
      <c r="B309" s="59"/>
      <c r="C309" s="59"/>
      <c r="D309" s="59"/>
      <c r="E309" s="59"/>
      <c r="F309" s="59"/>
      <c r="G309" s="59"/>
      <c r="H309" s="59"/>
      <c r="I309" s="59"/>
      <c r="J309" s="59"/>
      <c r="K309" s="59"/>
      <c r="L309" s="59"/>
      <c r="M309" s="59"/>
      <c r="N309" s="59"/>
      <c r="O309" s="7"/>
      <c r="P309" s="6"/>
      <c r="Q309" s="6"/>
      <c r="R309" s="6"/>
      <c r="S309" s="6"/>
      <c r="T309" s="6"/>
      <c r="U309" s="6"/>
      <c r="V309" s="6"/>
      <c r="W309" s="6"/>
      <c r="X309" s="6"/>
      <c r="Y309" s="6"/>
      <c r="Z309" s="6"/>
      <c r="AA309" s="6"/>
    </row>
    <row r="310" ht="15.75" customHeight="1">
      <c r="A310" s="59"/>
      <c r="B310" s="59"/>
      <c r="C310" s="59"/>
      <c r="D310" s="59"/>
      <c r="E310" s="59"/>
      <c r="F310" s="59"/>
      <c r="G310" s="59"/>
      <c r="H310" s="59"/>
      <c r="I310" s="59"/>
      <c r="J310" s="59"/>
      <c r="K310" s="59"/>
      <c r="L310" s="59"/>
      <c r="M310" s="59"/>
      <c r="N310" s="59"/>
      <c r="O310" s="7"/>
      <c r="P310" s="6"/>
      <c r="Q310" s="6"/>
      <c r="R310" s="6"/>
      <c r="S310" s="6"/>
      <c r="T310" s="6"/>
      <c r="U310" s="6"/>
      <c r="V310" s="6"/>
      <c r="W310" s="6"/>
      <c r="X310" s="6"/>
      <c r="Y310" s="6"/>
      <c r="Z310" s="6"/>
      <c r="AA310" s="6"/>
    </row>
    <row r="311" ht="15.75" customHeight="1">
      <c r="A311" s="59"/>
      <c r="B311" s="59"/>
      <c r="C311" s="59"/>
      <c r="D311" s="59"/>
      <c r="E311" s="59"/>
      <c r="F311" s="59"/>
      <c r="G311" s="59"/>
      <c r="H311" s="59"/>
      <c r="I311" s="59"/>
      <c r="J311" s="59"/>
      <c r="K311" s="59"/>
      <c r="L311" s="59"/>
      <c r="M311" s="59"/>
      <c r="N311" s="59"/>
      <c r="O311" s="7"/>
      <c r="P311" s="6"/>
      <c r="Q311" s="6"/>
      <c r="R311" s="6"/>
      <c r="S311" s="6"/>
      <c r="T311" s="6"/>
      <c r="U311" s="6"/>
      <c r="V311" s="6"/>
      <c r="W311" s="6"/>
      <c r="X311" s="6"/>
      <c r="Y311" s="6"/>
      <c r="Z311" s="6"/>
      <c r="AA311" s="6"/>
    </row>
    <row r="312" ht="15.75" customHeight="1">
      <c r="A312" s="59"/>
      <c r="B312" s="59"/>
      <c r="C312" s="59"/>
      <c r="D312" s="59"/>
      <c r="E312" s="59"/>
      <c r="F312" s="59"/>
      <c r="G312" s="59"/>
      <c r="H312" s="59"/>
      <c r="I312" s="59"/>
      <c r="J312" s="59"/>
      <c r="K312" s="59"/>
      <c r="L312" s="59"/>
      <c r="M312" s="59"/>
      <c r="N312" s="59"/>
      <c r="O312" s="7"/>
      <c r="P312" s="6"/>
      <c r="Q312" s="6"/>
      <c r="R312" s="6"/>
      <c r="S312" s="6"/>
      <c r="T312" s="6"/>
      <c r="U312" s="6"/>
      <c r="V312" s="6"/>
      <c r="W312" s="6"/>
      <c r="X312" s="6"/>
      <c r="Y312" s="6"/>
      <c r="Z312" s="6"/>
      <c r="AA312" s="6"/>
    </row>
    <row r="313" ht="15.75" customHeight="1">
      <c r="A313" s="59"/>
      <c r="B313" s="59"/>
      <c r="C313" s="59"/>
      <c r="D313" s="59"/>
      <c r="E313" s="59"/>
      <c r="F313" s="59"/>
      <c r="G313" s="59"/>
      <c r="H313" s="59"/>
      <c r="I313" s="59"/>
      <c r="J313" s="59"/>
      <c r="K313" s="59"/>
      <c r="L313" s="59"/>
      <c r="M313" s="59"/>
      <c r="N313" s="59"/>
      <c r="O313" s="7"/>
      <c r="P313" s="6"/>
      <c r="Q313" s="6"/>
      <c r="R313" s="6"/>
      <c r="S313" s="6"/>
      <c r="T313" s="6"/>
      <c r="U313" s="6"/>
      <c r="V313" s="6"/>
      <c r="W313" s="6"/>
      <c r="X313" s="6"/>
      <c r="Y313" s="6"/>
      <c r="Z313" s="6"/>
      <c r="AA313" s="6"/>
    </row>
    <row r="314" ht="15.75" customHeight="1">
      <c r="A314" s="59"/>
      <c r="B314" s="59"/>
      <c r="C314" s="59"/>
      <c r="D314" s="59"/>
      <c r="E314" s="59"/>
      <c r="F314" s="59"/>
      <c r="G314" s="59"/>
      <c r="H314" s="59"/>
      <c r="I314" s="59"/>
      <c r="J314" s="59"/>
      <c r="K314" s="59"/>
      <c r="L314" s="59"/>
      <c r="M314" s="59"/>
      <c r="N314" s="59"/>
      <c r="O314" s="7"/>
      <c r="P314" s="6"/>
      <c r="Q314" s="6"/>
      <c r="R314" s="6"/>
      <c r="S314" s="6"/>
      <c r="T314" s="6"/>
      <c r="U314" s="6"/>
      <c r="V314" s="6"/>
      <c r="W314" s="6"/>
      <c r="X314" s="6"/>
      <c r="Y314" s="6"/>
      <c r="Z314" s="6"/>
      <c r="AA314" s="6"/>
    </row>
    <row r="315" ht="15.75" customHeight="1">
      <c r="A315" s="59"/>
      <c r="B315" s="59"/>
      <c r="C315" s="59"/>
      <c r="D315" s="59"/>
      <c r="E315" s="59"/>
      <c r="F315" s="59"/>
      <c r="G315" s="59"/>
      <c r="H315" s="59"/>
      <c r="I315" s="59"/>
      <c r="J315" s="59"/>
      <c r="K315" s="59"/>
      <c r="L315" s="59"/>
      <c r="M315" s="59"/>
      <c r="N315" s="59"/>
      <c r="O315" s="7"/>
      <c r="P315" s="6"/>
      <c r="Q315" s="6"/>
      <c r="R315" s="6"/>
      <c r="S315" s="6"/>
      <c r="T315" s="6"/>
      <c r="U315" s="6"/>
      <c r="V315" s="6"/>
      <c r="W315" s="6"/>
      <c r="X315" s="6"/>
      <c r="Y315" s="6"/>
      <c r="Z315" s="6"/>
      <c r="AA315" s="6"/>
    </row>
    <row r="316" ht="15.75" customHeight="1">
      <c r="A316" s="59"/>
      <c r="B316" s="59"/>
      <c r="C316" s="59"/>
      <c r="D316" s="59"/>
      <c r="E316" s="59"/>
      <c r="F316" s="59"/>
      <c r="G316" s="59"/>
      <c r="H316" s="59"/>
      <c r="I316" s="59"/>
      <c r="J316" s="59"/>
      <c r="K316" s="59"/>
      <c r="L316" s="59"/>
      <c r="M316" s="59"/>
      <c r="N316" s="59"/>
      <c r="O316" s="7"/>
      <c r="P316" s="6"/>
      <c r="Q316" s="6"/>
      <c r="R316" s="6"/>
      <c r="S316" s="6"/>
      <c r="T316" s="6"/>
      <c r="U316" s="6"/>
      <c r="V316" s="6"/>
      <c r="W316" s="6"/>
      <c r="X316" s="6"/>
      <c r="Y316" s="6"/>
      <c r="Z316" s="6"/>
      <c r="AA316" s="6"/>
    </row>
    <row r="317" ht="15.75" customHeight="1">
      <c r="A317" s="59"/>
      <c r="B317" s="59"/>
      <c r="C317" s="59"/>
      <c r="D317" s="59"/>
      <c r="E317" s="59"/>
      <c r="F317" s="59"/>
      <c r="G317" s="59"/>
      <c r="H317" s="59"/>
      <c r="I317" s="59"/>
      <c r="J317" s="59"/>
      <c r="K317" s="59"/>
      <c r="L317" s="59"/>
      <c r="M317" s="59"/>
      <c r="N317" s="59"/>
      <c r="O317" s="7"/>
      <c r="P317" s="6"/>
      <c r="Q317" s="6"/>
      <c r="R317" s="6"/>
      <c r="S317" s="6"/>
      <c r="T317" s="6"/>
      <c r="U317" s="6"/>
      <c r="V317" s="6"/>
      <c r="W317" s="6"/>
      <c r="X317" s="6"/>
      <c r="Y317" s="6"/>
      <c r="Z317" s="6"/>
      <c r="AA317" s="6"/>
    </row>
    <row r="318" ht="15.75" customHeight="1">
      <c r="A318" s="59"/>
      <c r="B318" s="59"/>
      <c r="C318" s="59"/>
      <c r="D318" s="59"/>
      <c r="E318" s="59"/>
      <c r="F318" s="59"/>
      <c r="G318" s="59"/>
      <c r="H318" s="59"/>
      <c r="I318" s="59"/>
      <c r="J318" s="59"/>
      <c r="K318" s="59"/>
      <c r="L318" s="59"/>
      <c r="M318" s="59"/>
      <c r="N318" s="59"/>
      <c r="O318" s="7"/>
      <c r="P318" s="6"/>
      <c r="Q318" s="6"/>
      <c r="R318" s="6"/>
      <c r="S318" s="6"/>
      <c r="T318" s="6"/>
      <c r="U318" s="6"/>
      <c r="V318" s="6"/>
      <c r="W318" s="6"/>
      <c r="X318" s="6"/>
      <c r="Y318" s="6"/>
      <c r="Z318" s="6"/>
      <c r="AA318" s="6"/>
    </row>
    <row r="319" ht="15.75" customHeight="1">
      <c r="A319" s="59"/>
      <c r="B319" s="59"/>
      <c r="C319" s="59"/>
      <c r="D319" s="59"/>
      <c r="E319" s="59"/>
      <c r="F319" s="59"/>
      <c r="G319" s="59"/>
      <c r="H319" s="59"/>
      <c r="I319" s="59"/>
      <c r="J319" s="59"/>
      <c r="K319" s="59"/>
      <c r="L319" s="59"/>
      <c r="M319" s="59"/>
      <c r="N319" s="59"/>
      <c r="O319" s="7"/>
      <c r="P319" s="6"/>
      <c r="Q319" s="6"/>
      <c r="R319" s="6"/>
      <c r="S319" s="6"/>
      <c r="T319" s="6"/>
      <c r="U319" s="6"/>
      <c r="V319" s="6"/>
      <c r="W319" s="6"/>
      <c r="X319" s="6"/>
      <c r="Y319" s="6"/>
      <c r="Z319" s="6"/>
      <c r="AA319" s="6"/>
    </row>
    <row r="320" ht="15.75" customHeight="1">
      <c r="A320" s="59"/>
      <c r="B320" s="59"/>
      <c r="C320" s="59"/>
      <c r="D320" s="59"/>
      <c r="E320" s="59"/>
      <c r="F320" s="59"/>
      <c r="G320" s="59"/>
      <c r="H320" s="59"/>
      <c r="I320" s="59"/>
      <c r="J320" s="59"/>
      <c r="K320" s="59"/>
      <c r="L320" s="59"/>
      <c r="M320" s="59"/>
      <c r="N320" s="59"/>
      <c r="O320" s="7"/>
      <c r="P320" s="6"/>
      <c r="Q320" s="6"/>
      <c r="R320" s="6"/>
      <c r="S320" s="6"/>
      <c r="T320" s="6"/>
      <c r="U320" s="6"/>
      <c r="V320" s="6"/>
      <c r="W320" s="6"/>
      <c r="X320" s="6"/>
      <c r="Y320" s="6"/>
      <c r="Z320" s="6"/>
      <c r="AA320" s="6"/>
    </row>
    <row r="321" ht="15.75" customHeight="1">
      <c r="A321" s="59"/>
      <c r="B321" s="59"/>
      <c r="C321" s="59"/>
      <c r="D321" s="59"/>
      <c r="E321" s="59"/>
      <c r="F321" s="59"/>
      <c r="G321" s="59"/>
      <c r="H321" s="59"/>
      <c r="I321" s="59"/>
      <c r="J321" s="59"/>
      <c r="K321" s="59"/>
      <c r="L321" s="59"/>
      <c r="M321" s="59"/>
      <c r="N321" s="59"/>
      <c r="O321" s="7"/>
      <c r="P321" s="6"/>
      <c r="Q321" s="6"/>
      <c r="R321" s="6"/>
      <c r="S321" s="6"/>
      <c r="T321" s="6"/>
      <c r="U321" s="6"/>
      <c r="V321" s="6"/>
      <c r="W321" s="6"/>
      <c r="X321" s="6"/>
      <c r="Y321" s="6"/>
      <c r="Z321" s="6"/>
      <c r="AA321" s="6"/>
    </row>
    <row r="322" ht="15.75" customHeight="1">
      <c r="A322" s="59"/>
      <c r="B322" s="59"/>
      <c r="C322" s="59"/>
      <c r="D322" s="59"/>
      <c r="E322" s="59"/>
      <c r="F322" s="59"/>
      <c r="G322" s="59"/>
      <c r="H322" s="59"/>
      <c r="I322" s="59"/>
      <c r="J322" s="59"/>
      <c r="K322" s="59"/>
      <c r="L322" s="59"/>
      <c r="M322" s="59"/>
      <c r="N322" s="59"/>
      <c r="O322" s="7"/>
      <c r="P322" s="6"/>
      <c r="Q322" s="6"/>
      <c r="R322" s="6"/>
      <c r="S322" s="6"/>
      <c r="T322" s="6"/>
      <c r="U322" s="6"/>
      <c r="V322" s="6"/>
      <c r="W322" s="6"/>
      <c r="X322" s="6"/>
      <c r="Y322" s="6"/>
      <c r="Z322" s="6"/>
      <c r="AA322" s="6"/>
    </row>
    <row r="323" ht="15.75" customHeight="1">
      <c r="A323" s="59"/>
      <c r="B323" s="59"/>
      <c r="C323" s="59"/>
      <c r="D323" s="59"/>
      <c r="E323" s="59"/>
      <c r="F323" s="59"/>
      <c r="G323" s="59"/>
      <c r="H323" s="59"/>
      <c r="I323" s="59"/>
      <c r="J323" s="59"/>
      <c r="K323" s="59"/>
      <c r="L323" s="59"/>
      <c r="M323" s="59"/>
      <c r="N323" s="59"/>
      <c r="O323" s="7"/>
      <c r="P323" s="6"/>
      <c r="Q323" s="6"/>
      <c r="R323" s="6"/>
      <c r="S323" s="6"/>
      <c r="T323" s="6"/>
      <c r="U323" s="6"/>
      <c r="V323" s="6"/>
      <c r="W323" s="6"/>
      <c r="X323" s="6"/>
      <c r="Y323" s="6"/>
      <c r="Z323" s="6"/>
      <c r="AA323" s="6"/>
    </row>
    <row r="324" ht="15.75" customHeight="1">
      <c r="A324" s="59"/>
      <c r="B324" s="59"/>
      <c r="C324" s="59"/>
      <c r="D324" s="59"/>
      <c r="E324" s="59"/>
      <c r="F324" s="59"/>
      <c r="G324" s="59"/>
      <c r="H324" s="59"/>
      <c r="I324" s="59"/>
      <c r="J324" s="59"/>
      <c r="K324" s="59"/>
      <c r="L324" s="59"/>
      <c r="M324" s="59"/>
      <c r="N324" s="59"/>
      <c r="O324" s="7"/>
      <c r="P324" s="6"/>
      <c r="Q324" s="6"/>
      <c r="R324" s="6"/>
      <c r="S324" s="6"/>
      <c r="T324" s="6"/>
      <c r="U324" s="6"/>
      <c r="V324" s="6"/>
      <c r="W324" s="6"/>
      <c r="X324" s="6"/>
      <c r="Y324" s="6"/>
      <c r="Z324" s="6"/>
      <c r="AA324" s="6"/>
    </row>
    <row r="325" ht="15.75" customHeight="1">
      <c r="A325" s="59"/>
      <c r="B325" s="59"/>
      <c r="C325" s="59"/>
      <c r="D325" s="59"/>
      <c r="E325" s="59"/>
      <c r="F325" s="59"/>
      <c r="G325" s="59"/>
      <c r="H325" s="59"/>
      <c r="I325" s="59"/>
      <c r="J325" s="59"/>
      <c r="K325" s="59"/>
      <c r="L325" s="59"/>
      <c r="M325" s="59"/>
      <c r="N325" s="59"/>
      <c r="O325" s="7"/>
      <c r="P325" s="6"/>
      <c r="Q325" s="6"/>
      <c r="R325" s="6"/>
      <c r="S325" s="6"/>
      <c r="T325" s="6"/>
      <c r="U325" s="6"/>
      <c r="V325" s="6"/>
      <c r="W325" s="6"/>
      <c r="X325" s="6"/>
      <c r="Y325" s="6"/>
      <c r="Z325" s="6"/>
      <c r="AA325" s="6"/>
    </row>
    <row r="326" ht="15.75" customHeight="1">
      <c r="A326" s="59"/>
      <c r="B326" s="59"/>
      <c r="C326" s="59"/>
      <c r="D326" s="59"/>
      <c r="E326" s="59"/>
      <c r="F326" s="59"/>
      <c r="G326" s="59"/>
      <c r="H326" s="59"/>
      <c r="I326" s="59"/>
      <c r="J326" s="59"/>
      <c r="K326" s="59"/>
      <c r="L326" s="59"/>
      <c r="M326" s="59"/>
      <c r="N326" s="59"/>
      <c r="O326" s="7"/>
      <c r="P326" s="6"/>
      <c r="Q326" s="6"/>
      <c r="R326" s="6"/>
      <c r="S326" s="6"/>
      <c r="T326" s="6"/>
      <c r="U326" s="6"/>
      <c r="V326" s="6"/>
      <c r="W326" s="6"/>
      <c r="X326" s="6"/>
      <c r="Y326" s="6"/>
      <c r="Z326" s="6"/>
      <c r="AA326" s="6"/>
    </row>
    <row r="327" ht="15.75" customHeight="1">
      <c r="A327" s="59"/>
      <c r="B327" s="59"/>
      <c r="C327" s="59"/>
      <c r="D327" s="59"/>
      <c r="E327" s="59"/>
      <c r="F327" s="59"/>
      <c r="G327" s="59"/>
      <c r="H327" s="59"/>
      <c r="I327" s="59"/>
      <c r="J327" s="59"/>
      <c r="K327" s="59"/>
      <c r="L327" s="59"/>
      <c r="M327" s="59"/>
      <c r="N327" s="59"/>
      <c r="O327" s="7"/>
      <c r="P327" s="6"/>
      <c r="Q327" s="6"/>
      <c r="R327" s="6"/>
      <c r="S327" s="6"/>
      <c r="T327" s="6"/>
      <c r="U327" s="6"/>
      <c r="V327" s="6"/>
      <c r="W327" s="6"/>
      <c r="X327" s="6"/>
      <c r="Y327" s="6"/>
      <c r="Z327" s="6"/>
      <c r="AA327" s="6"/>
    </row>
    <row r="328" ht="15.75" customHeight="1">
      <c r="A328" s="59"/>
      <c r="B328" s="59"/>
      <c r="C328" s="59"/>
      <c r="D328" s="59"/>
      <c r="E328" s="59"/>
      <c r="F328" s="59"/>
      <c r="G328" s="59"/>
      <c r="H328" s="59"/>
      <c r="I328" s="59"/>
      <c r="J328" s="59"/>
      <c r="K328" s="59"/>
      <c r="L328" s="59"/>
      <c r="M328" s="59"/>
      <c r="N328" s="59"/>
      <c r="O328" s="7"/>
      <c r="P328" s="6"/>
      <c r="Q328" s="6"/>
      <c r="R328" s="6"/>
      <c r="S328" s="6"/>
      <c r="T328" s="6"/>
      <c r="U328" s="6"/>
      <c r="V328" s="6"/>
      <c r="W328" s="6"/>
      <c r="X328" s="6"/>
      <c r="Y328" s="6"/>
      <c r="Z328" s="6"/>
      <c r="AA328" s="6"/>
    </row>
    <row r="329" ht="15.75" customHeight="1">
      <c r="A329" s="59"/>
      <c r="B329" s="59"/>
      <c r="C329" s="59"/>
      <c r="D329" s="59"/>
      <c r="E329" s="59"/>
      <c r="F329" s="59"/>
      <c r="G329" s="59"/>
      <c r="H329" s="59"/>
      <c r="I329" s="59"/>
      <c r="J329" s="59"/>
      <c r="K329" s="59"/>
      <c r="L329" s="59"/>
      <c r="M329" s="59"/>
      <c r="N329" s="59"/>
      <c r="O329" s="7"/>
      <c r="P329" s="6"/>
      <c r="Q329" s="6"/>
      <c r="R329" s="6"/>
      <c r="S329" s="6"/>
      <c r="T329" s="6"/>
      <c r="U329" s="6"/>
      <c r="V329" s="6"/>
      <c r="W329" s="6"/>
      <c r="X329" s="6"/>
      <c r="Y329" s="6"/>
      <c r="Z329" s="6"/>
      <c r="AA329" s="6"/>
    </row>
    <row r="330" ht="15.75" customHeight="1">
      <c r="A330" s="59"/>
      <c r="B330" s="59"/>
      <c r="C330" s="59"/>
      <c r="D330" s="59"/>
      <c r="E330" s="59"/>
      <c r="F330" s="59"/>
      <c r="G330" s="59"/>
      <c r="H330" s="59"/>
      <c r="I330" s="59"/>
      <c r="J330" s="59"/>
      <c r="K330" s="59"/>
      <c r="L330" s="59"/>
      <c r="M330" s="59"/>
      <c r="N330" s="59"/>
      <c r="O330" s="7"/>
      <c r="P330" s="6"/>
      <c r="Q330" s="6"/>
      <c r="R330" s="6"/>
      <c r="S330" s="6"/>
      <c r="T330" s="6"/>
      <c r="U330" s="6"/>
      <c r="V330" s="6"/>
      <c r="W330" s="6"/>
      <c r="X330" s="6"/>
      <c r="Y330" s="6"/>
      <c r="Z330" s="6"/>
      <c r="AA330" s="6"/>
    </row>
    <row r="331" ht="15.75" customHeight="1">
      <c r="A331" s="59"/>
      <c r="B331" s="59"/>
      <c r="C331" s="59"/>
      <c r="D331" s="59"/>
      <c r="E331" s="59"/>
      <c r="F331" s="59"/>
      <c r="G331" s="59"/>
      <c r="H331" s="59"/>
      <c r="I331" s="59"/>
      <c r="J331" s="59"/>
      <c r="K331" s="59"/>
      <c r="L331" s="59"/>
      <c r="M331" s="59"/>
      <c r="N331" s="59"/>
      <c r="O331" s="7"/>
      <c r="P331" s="6"/>
      <c r="Q331" s="6"/>
      <c r="R331" s="6"/>
      <c r="S331" s="6"/>
      <c r="T331" s="6"/>
      <c r="U331" s="6"/>
      <c r="V331" s="6"/>
      <c r="W331" s="6"/>
      <c r="X331" s="6"/>
      <c r="Y331" s="6"/>
      <c r="Z331" s="6"/>
      <c r="AA331" s="6"/>
    </row>
    <row r="332" ht="15.75" customHeight="1">
      <c r="A332" s="59"/>
      <c r="B332" s="59"/>
      <c r="C332" s="59"/>
      <c r="D332" s="59"/>
      <c r="E332" s="59"/>
      <c r="F332" s="59"/>
      <c r="G332" s="59"/>
      <c r="H332" s="59"/>
      <c r="I332" s="59"/>
      <c r="J332" s="59"/>
      <c r="K332" s="59"/>
      <c r="L332" s="59"/>
      <c r="M332" s="59"/>
      <c r="N332" s="59"/>
      <c r="O332" s="7"/>
      <c r="P332" s="6"/>
      <c r="Q332" s="6"/>
      <c r="R332" s="6"/>
      <c r="S332" s="6"/>
      <c r="T332" s="6"/>
      <c r="U332" s="6"/>
      <c r="V332" s="6"/>
      <c r="W332" s="6"/>
      <c r="X332" s="6"/>
      <c r="Y332" s="6"/>
      <c r="Z332" s="6"/>
      <c r="AA332" s="6"/>
    </row>
    <row r="333" ht="15.75" customHeight="1">
      <c r="A333" s="59"/>
      <c r="B333" s="59"/>
      <c r="C333" s="59"/>
      <c r="D333" s="59"/>
      <c r="E333" s="59"/>
      <c r="F333" s="59"/>
      <c r="G333" s="59"/>
      <c r="H333" s="59"/>
      <c r="I333" s="59"/>
      <c r="J333" s="59"/>
      <c r="K333" s="59"/>
      <c r="L333" s="59"/>
      <c r="M333" s="59"/>
      <c r="N333" s="59"/>
      <c r="O333" s="7"/>
      <c r="P333" s="6"/>
      <c r="Q333" s="6"/>
      <c r="R333" s="6"/>
      <c r="S333" s="6"/>
      <c r="T333" s="6"/>
      <c r="U333" s="6"/>
      <c r="V333" s="6"/>
      <c r="W333" s="6"/>
      <c r="X333" s="6"/>
      <c r="Y333" s="6"/>
      <c r="Z333" s="6"/>
      <c r="AA333" s="6"/>
    </row>
    <row r="334" ht="15.75" customHeight="1">
      <c r="A334" s="59"/>
      <c r="B334" s="59"/>
      <c r="C334" s="59"/>
      <c r="D334" s="59"/>
      <c r="E334" s="59"/>
      <c r="F334" s="59"/>
      <c r="G334" s="59"/>
      <c r="H334" s="59"/>
      <c r="I334" s="59"/>
      <c r="J334" s="59"/>
      <c r="K334" s="59"/>
      <c r="L334" s="59"/>
      <c r="M334" s="59"/>
      <c r="N334" s="59"/>
      <c r="O334" s="7"/>
      <c r="P334" s="6"/>
      <c r="Q334" s="6"/>
      <c r="R334" s="6"/>
      <c r="S334" s="6"/>
      <c r="T334" s="6"/>
      <c r="U334" s="6"/>
      <c r="V334" s="6"/>
      <c r="W334" s="6"/>
      <c r="X334" s="6"/>
      <c r="Y334" s="6"/>
      <c r="Z334" s="6"/>
      <c r="AA334" s="6"/>
    </row>
    <row r="335" ht="15.75" customHeight="1">
      <c r="A335" s="59"/>
      <c r="B335" s="59"/>
      <c r="C335" s="59"/>
      <c r="D335" s="59"/>
      <c r="E335" s="59"/>
      <c r="F335" s="59"/>
      <c r="G335" s="59"/>
      <c r="H335" s="59"/>
      <c r="I335" s="59"/>
      <c r="J335" s="59"/>
      <c r="K335" s="59"/>
      <c r="L335" s="59"/>
      <c r="M335" s="59"/>
      <c r="N335" s="59"/>
      <c r="O335" s="7"/>
      <c r="P335" s="6"/>
      <c r="Q335" s="6"/>
      <c r="R335" s="6"/>
      <c r="S335" s="6"/>
      <c r="T335" s="6"/>
      <c r="U335" s="6"/>
      <c r="V335" s="6"/>
      <c r="W335" s="6"/>
      <c r="X335" s="6"/>
      <c r="Y335" s="6"/>
      <c r="Z335" s="6"/>
      <c r="AA335" s="6"/>
    </row>
    <row r="336" ht="15.75" customHeight="1">
      <c r="A336" s="59"/>
      <c r="B336" s="59"/>
      <c r="C336" s="59"/>
      <c r="D336" s="59"/>
      <c r="E336" s="59"/>
      <c r="F336" s="59"/>
      <c r="G336" s="59"/>
      <c r="H336" s="59"/>
      <c r="I336" s="59"/>
      <c r="J336" s="59"/>
      <c r="K336" s="59"/>
      <c r="L336" s="59"/>
      <c r="M336" s="59"/>
      <c r="N336" s="59"/>
      <c r="O336" s="7"/>
      <c r="P336" s="6"/>
      <c r="Q336" s="6"/>
      <c r="R336" s="6"/>
      <c r="S336" s="6"/>
      <c r="T336" s="6"/>
      <c r="U336" s="6"/>
      <c r="V336" s="6"/>
      <c r="W336" s="6"/>
      <c r="X336" s="6"/>
      <c r="Y336" s="6"/>
      <c r="Z336" s="6"/>
      <c r="AA336" s="6"/>
    </row>
    <row r="337" ht="15.75" customHeight="1">
      <c r="A337" s="59"/>
      <c r="B337" s="59"/>
      <c r="C337" s="59"/>
      <c r="D337" s="59"/>
      <c r="E337" s="59"/>
      <c r="F337" s="59"/>
      <c r="G337" s="59"/>
      <c r="H337" s="59"/>
      <c r="I337" s="59"/>
      <c r="J337" s="59"/>
      <c r="K337" s="59"/>
      <c r="L337" s="59"/>
      <c r="M337" s="59"/>
      <c r="N337" s="59"/>
      <c r="O337" s="7"/>
      <c r="P337" s="6"/>
      <c r="Q337" s="6"/>
      <c r="R337" s="6"/>
      <c r="S337" s="6"/>
      <c r="T337" s="6"/>
      <c r="U337" s="6"/>
      <c r="V337" s="6"/>
      <c r="W337" s="6"/>
      <c r="X337" s="6"/>
      <c r="Y337" s="6"/>
      <c r="Z337" s="6"/>
      <c r="AA337" s="6"/>
    </row>
    <row r="338" ht="15.75" customHeight="1">
      <c r="A338" s="59"/>
      <c r="B338" s="59"/>
      <c r="C338" s="59"/>
      <c r="D338" s="59"/>
      <c r="E338" s="59"/>
      <c r="F338" s="59"/>
      <c r="G338" s="59"/>
      <c r="H338" s="59"/>
      <c r="I338" s="59"/>
      <c r="J338" s="59"/>
      <c r="K338" s="59"/>
      <c r="L338" s="59"/>
      <c r="M338" s="59"/>
      <c r="N338" s="59"/>
      <c r="O338" s="7"/>
      <c r="P338" s="6"/>
      <c r="Q338" s="6"/>
      <c r="R338" s="6"/>
      <c r="S338" s="6"/>
      <c r="T338" s="6"/>
      <c r="U338" s="6"/>
      <c r="V338" s="6"/>
      <c r="W338" s="6"/>
      <c r="X338" s="6"/>
      <c r="Y338" s="6"/>
      <c r="Z338" s="6"/>
      <c r="AA338" s="6"/>
    </row>
    <row r="339" ht="15.75" customHeight="1">
      <c r="A339" s="59"/>
      <c r="B339" s="59"/>
      <c r="C339" s="59"/>
      <c r="D339" s="59"/>
      <c r="E339" s="59"/>
      <c r="F339" s="59"/>
      <c r="G339" s="59"/>
      <c r="H339" s="59"/>
      <c r="I339" s="59"/>
      <c r="J339" s="59"/>
      <c r="K339" s="59"/>
      <c r="L339" s="59"/>
      <c r="M339" s="59"/>
      <c r="N339" s="59"/>
      <c r="O339" s="7"/>
      <c r="P339" s="6"/>
      <c r="Q339" s="6"/>
      <c r="R339" s="6"/>
      <c r="S339" s="6"/>
      <c r="T339" s="6"/>
      <c r="U339" s="6"/>
      <c r="V339" s="6"/>
      <c r="W339" s="6"/>
      <c r="X339" s="6"/>
      <c r="Y339" s="6"/>
      <c r="Z339" s="6"/>
      <c r="AA339" s="6"/>
    </row>
    <row r="340" ht="15.75" customHeight="1">
      <c r="A340" s="59"/>
      <c r="B340" s="59"/>
      <c r="C340" s="59"/>
      <c r="D340" s="59"/>
      <c r="E340" s="59"/>
      <c r="F340" s="59"/>
      <c r="G340" s="59"/>
      <c r="H340" s="59"/>
      <c r="I340" s="59"/>
      <c r="J340" s="59"/>
      <c r="K340" s="59"/>
      <c r="L340" s="59"/>
      <c r="M340" s="59"/>
      <c r="N340" s="59"/>
      <c r="O340" s="7"/>
      <c r="P340" s="6"/>
      <c r="Q340" s="6"/>
      <c r="R340" s="6"/>
      <c r="S340" s="6"/>
      <c r="T340" s="6"/>
      <c r="U340" s="6"/>
      <c r="V340" s="6"/>
      <c r="W340" s="6"/>
      <c r="X340" s="6"/>
      <c r="Y340" s="6"/>
      <c r="Z340" s="6"/>
      <c r="AA340" s="6"/>
    </row>
    <row r="341" ht="15.75" customHeight="1">
      <c r="A341" s="59"/>
      <c r="B341" s="59"/>
      <c r="C341" s="59"/>
      <c r="D341" s="59"/>
      <c r="E341" s="59"/>
      <c r="F341" s="59"/>
      <c r="G341" s="59"/>
      <c r="H341" s="59"/>
      <c r="I341" s="59"/>
      <c r="J341" s="59"/>
      <c r="K341" s="59"/>
      <c r="L341" s="59"/>
      <c r="M341" s="59"/>
      <c r="N341" s="59"/>
      <c r="O341" s="7"/>
      <c r="P341" s="6"/>
      <c r="Q341" s="6"/>
      <c r="R341" s="6"/>
      <c r="S341" s="6"/>
      <c r="T341" s="6"/>
      <c r="U341" s="6"/>
      <c r="V341" s="6"/>
      <c r="W341" s="6"/>
      <c r="X341" s="6"/>
      <c r="Y341" s="6"/>
      <c r="Z341" s="6"/>
      <c r="AA341" s="6"/>
    </row>
    <row r="342" ht="15.75" customHeight="1">
      <c r="A342" s="59"/>
      <c r="B342" s="59"/>
      <c r="C342" s="59"/>
      <c r="D342" s="59"/>
      <c r="E342" s="59"/>
      <c r="F342" s="59"/>
      <c r="G342" s="59"/>
      <c r="H342" s="59"/>
      <c r="I342" s="59"/>
      <c r="J342" s="59"/>
      <c r="K342" s="59"/>
      <c r="L342" s="59"/>
      <c r="M342" s="59"/>
      <c r="N342" s="59"/>
      <c r="O342" s="7"/>
      <c r="P342" s="6"/>
      <c r="Q342" s="6"/>
      <c r="R342" s="6"/>
      <c r="S342" s="6"/>
      <c r="T342" s="6"/>
      <c r="U342" s="6"/>
      <c r="V342" s="6"/>
      <c r="W342" s="6"/>
      <c r="X342" s="6"/>
      <c r="Y342" s="6"/>
      <c r="Z342" s="6"/>
      <c r="AA342" s="6"/>
    </row>
    <row r="343" ht="15.75" customHeight="1">
      <c r="A343" s="59"/>
      <c r="B343" s="59"/>
      <c r="C343" s="59"/>
      <c r="D343" s="59"/>
      <c r="E343" s="59"/>
      <c r="F343" s="59"/>
      <c r="G343" s="59"/>
      <c r="H343" s="59"/>
      <c r="I343" s="59"/>
      <c r="J343" s="59"/>
      <c r="K343" s="59"/>
      <c r="L343" s="59"/>
      <c r="M343" s="59"/>
      <c r="N343" s="59"/>
      <c r="O343" s="7"/>
      <c r="P343" s="6"/>
      <c r="Q343" s="6"/>
      <c r="R343" s="6"/>
      <c r="S343" s="6"/>
      <c r="T343" s="6"/>
      <c r="U343" s="6"/>
      <c r="V343" s="6"/>
      <c r="W343" s="6"/>
      <c r="X343" s="6"/>
      <c r="Y343" s="6"/>
      <c r="Z343" s="6"/>
      <c r="AA343" s="6"/>
    </row>
    <row r="344" ht="15.75" customHeight="1">
      <c r="A344" s="59"/>
      <c r="B344" s="59"/>
      <c r="C344" s="59"/>
      <c r="D344" s="59"/>
      <c r="E344" s="59"/>
      <c r="F344" s="59"/>
      <c r="G344" s="59"/>
      <c r="H344" s="59"/>
      <c r="I344" s="59"/>
      <c r="J344" s="59"/>
      <c r="K344" s="59"/>
      <c r="L344" s="59"/>
      <c r="M344" s="59"/>
      <c r="N344" s="59"/>
      <c r="O344" s="7"/>
      <c r="P344" s="6"/>
      <c r="Q344" s="6"/>
      <c r="R344" s="6"/>
      <c r="S344" s="6"/>
      <c r="T344" s="6"/>
      <c r="U344" s="6"/>
      <c r="V344" s="6"/>
      <c r="W344" s="6"/>
      <c r="X344" s="6"/>
      <c r="Y344" s="6"/>
      <c r="Z344" s="6"/>
      <c r="AA344" s="6"/>
    </row>
    <row r="345" ht="15.75" customHeight="1">
      <c r="A345" s="59"/>
      <c r="B345" s="59"/>
      <c r="C345" s="59"/>
      <c r="D345" s="59"/>
      <c r="E345" s="59"/>
      <c r="F345" s="59"/>
      <c r="G345" s="59"/>
      <c r="H345" s="59"/>
      <c r="I345" s="59"/>
      <c r="J345" s="59"/>
      <c r="K345" s="59"/>
      <c r="L345" s="59"/>
      <c r="M345" s="59"/>
      <c r="N345" s="59"/>
      <c r="O345" s="7"/>
      <c r="P345" s="6"/>
      <c r="Q345" s="6"/>
      <c r="R345" s="6"/>
      <c r="S345" s="6"/>
      <c r="T345" s="6"/>
      <c r="U345" s="6"/>
      <c r="V345" s="6"/>
      <c r="W345" s="6"/>
      <c r="X345" s="6"/>
      <c r="Y345" s="6"/>
      <c r="Z345" s="6"/>
      <c r="AA345" s="6"/>
    </row>
    <row r="346" ht="15.75" customHeight="1">
      <c r="A346" s="59"/>
      <c r="B346" s="59"/>
      <c r="C346" s="59"/>
      <c r="D346" s="59"/>
      <c r="E346" s="59"/>
      <c r="F346" s="59"/>
      <c r="G346" s="59"/>
      <c r="H346" s="59"/>
      <c r="I346" s="59"/>
      <c r="J346" s="59"/>
      <c r="K346" s="59"/>
      <c r="L346" s="59"/>
      <c r="M346" s="59"/>
      <c r="N346" s="59"/>
      <c r="O346" s="7"/>
      <c r="P346" s="6"/>
      <c r="Q346" s="6"/>
      <c r="R346" s="6"/>
      <c r="S346" s="6"/>
      <c r="T346" s="6"/>
      <c r="U346" s="6"/>
      <c r="V346" s="6"/>
      <c r="W346" s="6"/>
      <c r="X346" s="6"/>
      <c r="Y346" s="6"/>
      <c r="Z346" s="6"/>
      <c r="AA346" s="6"/>
    </row>
    <row r="347" ht="15.75" customHeight="1">
      <c r="A347" s="59"/>
      <c r="B347" s="59"/>
      <c r="C347" s="59"/>
      <c r="D347" s="59"/>
      <c r="E347" s="59"/>
      <c r="F347" s="59"/>
      <c r="G347" s="59"/>
      <c r="H347" s="59"/>
      <c r="I347" s="59"/>
      <c r="J347" s="59"/>
      <c r="K347" s="59"/>
      <c r="L347" s="59"/>
      <c r="M347" s="59"/>
      <c r="N347" s="59"/>
      <c r="O347" s="7"/>
      <c r="P347" s="6"/>
      <c r="Q347" s="6"/>
      <c r="R347" s="6"/>
      <c r="S347" s="6"/>
      <c r="T347" s="6"/>
      <c r="U347" s="6"/>
      <c r="V347" s="6"/>
      <c r="W347" s="6"/>
      <c r="X347" s="6"/>
      <c r="Y347" s="6"/>
      <c r="Z347" s="6"/>
      <c r="AA347" s="6"/>
    </row>
    <row r="348" ht="15.75" customHeight="1">
      <c r="A348" s="59"/>
      <c r="B348" s="59"/>
      <c r="C348" s="59"/>
      <c r="D348" s="59"/>
      <c r="E348" s="59"/>
      <c r="F348" s="59"/>
      <c r="G348" s="59"/>
      <c r="H348" s="59"/>
      <c r="I348" s="59"/>
      <c r="J348" s="59"/>
      <c r="K348" s="59"/>
      <c r="L348" s="59"/>
      <c r="M348" s="59"/>
      <c r="N348" s="59"/>
      <c r="O348" s="7"/>
      <c r="P348" s="6"/>
      <c r="Q348" s="6"/>
      <c r="R348" s="6"/>
      <c r="S348" s="6"/>
      <c r="T348" s="6"/>
      <c r="U348" s="6"/>
      <c r="V348" s="6"/>
      <c r="W348" s="6"/>
      <c r="X348" s="6"/>
      <c r="Y348" s="6"/>
      <c r="Z348" s="6"/>
      <c r="AA348" s="6"/>
    </row>
    <row r="349" ht="15.75" customHeight="1">
      <c r="A349" s="59"/>
      <c r="B349" s="59"/>
      <c r="C349" s="59"/>
      <c r="D349" s="59"/>
      <c r="E349" s="59"/>
      <c r="F349" s="59"/>
      <c r="G349" s="59"/>
      <c r="H349" s="59"/>
      <c r="I349" s="59"/>
      <c r="J349" s="59"/>
      <c r="K349" s="59"/>
      <c r="L349" s="59"/>
      <c r="M349" s="59"/>
      <c r="N349" s="59"/>
      <c r="O349" s="7"/>
      <c r="P349" s="6"/>
      <c r="Q349" s="6"/>
      <c r="R349" s="6"/>
      <c r="S349" s="6"/>
      <c r="T349" s="6"/>
      <c r="U349" s="6"/>
      <c r="V349" s="6"/>
      <c r="W349" s="6"/>
      <c r="X349" s="6"/>
      <c r="Y349" s="6"/>
      <c r="Z349" s="6"/>
      <c r="AA349" s="6"/>
    </row>
    <row r="350" ht="15.75" customHeight="1">
      <c r="A350" s="59"/>
      <c r="B350" s="59"/>
      <c r="C350" s="59"/>
      <c r="D350" s="59"/>
      <c r="E350" s="59"/>
      <c r="F350" s="59"/>
      <c r="G350" s="59"/>
      <c r="H350" s="59"/>
      <c r="I350" s="59"/>
      <c r="J350" s="59"/>
      <c r="K350" s="59"/>
      <c r="L350" s="59"/>
      <c r="M350" s="59"/>
      <c r="N350" s="59"/>
      <c r="O350" s="7"/>
      <c r="P350" s="6"/>
      <c r="Q350" s="6"/>
      <c r="R350" s="6"/>
      <c r="S350" s="6"/>
      <c r="T350" s="6"/>
      <c r="U350" s="6"/>
      <c r="V350" s="6"/>
      <c r="W350" s="6"/>
      <c r="X350" s="6"/>
      <c r="Y350" s="6"/>
      <c r="Z350" s="6"/>
      <c r="AA350" s="6"/>
    </row>
    <row r="351" ht="15.75" customHeight="1">
      <c r="A351" s="59"/>
      <c r="B351" s="59"/>
      <c r="C351" s="59"/>
      <c r="D351" s="59"/>
      <c r="E351" s="59"/>
      <c r="F351" s="59"/>
      <c r="G351" s="59"/>
      <c r="H351" s="59"/>
      <c r="I351" s="59"/>
      <c r="J351" s="59"/>
      <c r="K351" s="59"/>
      <c r="L351" s="59"/>
      <c r="M351" s="59"/>
      <c r="N351" s="59"/>
      <c r="O351" s="7"/>
      <c r="P351" s="6"/>
      <c r="Q351" s="6"/>
      <c r="R351" s="6"/>
      <c r="S351" s="6"/>
      <c r="T351" s="6"/>
      <c r="U351" s="6"/>
      <c r="V351" s="6"/>
      <c r="W351" s="6"/>
      <c r="X351" s="6"/>
      <c r="Y351" s="6"/>
      <c r="Z351" s="6"/>
      <c r="AA351" s="6"/>
    </row>
    <row r="352" ht="15.75" customHeight="1">
      <c r="A352" s="59"/>
      <c r="B352" s="59"/>
      <c r="C352" s="59"/>
      <c r="D352" s="59"/>
      <c r="E352" s="59"/>
      <c r="F352" s="59"/>
      <c r="G352" s="59"/>
      <c r="H352" s="59"/>
      <c r="I352" s="59"/>
      <c r="J352" s="59"/>
      <c r="K352" s="59"/>
      <c r="L352" s="59"/>
      <c r="M352" s="59"/>
      <c r="N352" s="59"/>
      <c r="O352" s="7"/>
      <c r="P352" s="6"/>
      <c r="Q352" s="6"/>
      <c r="R352" s="6"/>
      <c r="S352" s="6"/>
      <c r="T352" s="6"/>
      <c r="U352" s="6"/>
      <c r="V352" s="6"/>
      <c r="W352" s="6"/>
      <c r="X352" s="6"/>
      <c r="Y352" s="6"/>
      <c r="Z352" s="6"/>
      <c r="AA352" s="6"/>
    </row>
    <row r="353" ht="15.75" customHeight="1">
      <c r="A353" s="59"/>
      <c r="B353" s="59"/>
      <c r="C353" s="59"/>
      <c r="D353" s="59"/>
      <c r="E353" s="59"/>
      <c r="F353" s="59"/>
      <c r="G353" s="59"/>
      <c r="H353" s="59"/>
      <c r="I353" s="59"/>
      <c r="J353" s="59"/>
      <c r="K353" s="59"/>
      <c r="L353" s="59"/>
      <c r="M353" s="59"/>
      <c r="N353" s="59"/>
      <c r="O353" s="7"/>
      <c r="P353" s="6"/>
      <c r="Q353" s="6"/>
      <c r="R353" s="6"/>
      <c r="S353" s="6"/>
      <c r="T353" s="6"/>
      <c r="U353" s="6"/>
      <c r="V353" s="6"/>
      <c r="W353" s="6"/>
      <c r="X353" s="6"/>
      <c r="Y353" s="6"/>
      <c r="Z353" s="6"/>
      <c r="AA353" s="6"/>
    </row>
    <row r="354" ht="15.75" customHeight="1">
      <c r="A354" s="59"/>
      <c r="B354" s="59"/>
      <c r="C354" s="59"/>
      <c r="D354" s="59"/>
      <c r="E354" s="59"/>
      <c r="F354" s="59"/>
      <c r="G354" s="59"/>
      <c r="H354" s="59"/>
      <c r="I354" s="59"/>
      <c r="J354" s="59"/>
      <c r="K354" s="59"/>
      <c r="L354" s="59"/>
      <c r="M354" s="59"/>
      <c r="N354" s="59"/>
      <c r="O354" s="7"/>
      <c r="P354" s="6"/>
      <c r="Q354" s="6"/>
      <c r="R354" s="6"/>
      <c r="S354" s="6"/>
      <c r="T354" s="6"/>
      <c r="U354" s="6"/>
      <c r="V354" s="6"/>
      <c r="W354" s="6"/>
      <c r="X354" s="6"/>
      <c r="Y354" s="6"/>
      <c r="Z354" s="6"/>
      <c r="AA354" s="6"/>
    </row>
    <row r="355" ht="15.75" customHeight="1">
      <c r="A355" s="59"/>
      <c r="B355" s="59"/>
      <c r="C355" s="59"/>
      <c r="D355" s="59"/>
      <c r="E355" s="59"/>
      <c r="F355" s="59"/>
      <c r="G355" s="59"/>
      <c r="H355" s="59"/>
      <c r="I355" s="59"/>
      <c r="J355" s="59"/>
      <c r="K355" s="59"/>
      <c r="L355" s="59"/>
      <c r="M355" s="59"/>
      <c r="N355" s="59"/>
      <c r="O355" s="7"/>
      <c r="P355" s="6"/>
      <c r="Q355" s="6"/>
      <c r="R355" s="6"/>
      <c r="S355" s="6"/>
      <c r="T355" s="6"/>
      <c r="U355" s="6"/>
      <c r="V355" s="6"/>
      <c r="W355" s="6"/>
      <c r="X355" s="6"/>
      <c r="Y355" s="6"/>
      <c r="Z355" s="6"/>
      <c r="AA355" s="6"/>
    </row>
    <row r="356" ht="15.75" customHeight="1">
      <c r="A356" s="59"/>
      <c r="B356" s="59"/>
      <c r="C356" s="59"/>
      <c r="D356" s="59"/>
      <c r="E356" s="59"/>
      <c r="F356" s="59"/>
      <c r="G356" s="59"/>
      <c r="H356" s="59"/>
      <c r="I356" s="59"/>
      <c r="J356" s="59"/>
      <c r="K356" s="59"/>
      <c r="L356" s="59"/>
      <c r="M356" s="59"/>
      <c r="N356" s="59"/>
      <c r="O356" s="7"/>
      <c r="P356" s="6"/>
      <c r="Q356" s="6"/>
      <c r="R356" s="6"/>
      <c r="S356" s="6"/>
      <c r="T356" s="6"/>
      <c r="U356" s="6"/>
      <c r="V356" s="6"/>
      <c r="W356" s="6"/>
      <c r="X356" s="6"/>
      <c r="Y356" s="6"/>
      <c r="Z356" s="6"/>
      <c r="AA356" s="6"/>
    </row>
    <row r="357" ht="15.75" customHeight="1">
      <c r="A357" s="59"/>
      <c r="B357" s="59"/>
      <c r="C357" s="59"/>
      <c r="D357" s="59"/>
      <c r="E357" s="59"/>
      <c r="F357" s="59"/>
      <c r="G357" s="59"/>
      <c r="H357" s="59"/>
      <c r="I357" s="59"/>
      <c r="J357" s="59"/>
      <c r="K357" s="59"/>
      <c r="L357" s="59"/>
      <c r="M357" s="59"/>
      <c r="N357" s="59"/>
      <c r="O357" s="7"/>
      <c r="P357" s="6"/>
      <c r="Q357" s="6"/>
      <c r="R357" s="6"/>
      <c r="S357" s="6"/>
      <c r="T357" s="6"/>
      <c r="U357" s="6"/>
      <c r="V357" s="6"/>
      <c r="W357" s="6"/>
      <c r="X357" s="6"/>
      <c r="Y357" s="6"/>
      <c r="Z357" s="6"/>
      <c r="AA357" s="6"/>
    </row>
    <row r="358" ht="15.75" customHeight="1">
      <c r="A358" s="59"/>
      <c r="B358" s="59"/>
      <c r="C358" s="59"/>
      <c r="D358" s="59"/>
      <c r="E358" s="59"/>
      <c r="F358" s="59"/>
      <c r="G358" s="59"/>
      <c r="H358" s="59"/>
      <c r="I358" s="59"/>
      <c r="J358" s="59"/>
      <c r="K358" s="59"/>
      <c r="L358" s="59"/>
      <c r="M358" s="59"/>
      <c r="N358" s="59"/>
      <c r="O358" s="7"/>
      <c r="P358" s="6"/>
      <c r="Q358" s="6"/>
      <c r="R358" s="6"/>
      <c r="S358" s="6"/>
      <c r="T358" s="6"/>
      <c r="U358" s="6"/>
      <c r="V358" s="6"/>
      <c r="W358" s="6"/>
      <c r="X358" s="6"/>
      <c r="Y358" s="6"/>
      <c r="Z358" s="6"/>
      <c r="AA358" s="6"/>
    </row>
    <row r="359" ht="15.75" customHeight="1">
      <c r="A359" s="59"/>
      <c r="B359" s="59"/>
      <c r="C359" s="59"/>
      <c r="D359" s="59"/>
      <c r="E359" s="59"/>
      <c r="F359" s="59"/>
      <c r="G359" s="59"/>
      <c r="H359" s="59"/>
      <c r="I359" s="59"/>
      <c r="J359" s="59"/>
      <c r="K359" s="59"/>
      <c r="L359" s="59"/>
      <c r="M359" s="59"/>
      <c r="N359" s="59"/>
      <c r="O359" s="7"/>
      <c r="P359" s="6"/>
      <c r="Q359" s="6"/>
      <c r="R359" s="6"/>
      <c r="S359" s="6"/>
      <c r="T359" s="6"/>
      <c r="U359" s="6"/>
      <c r="V359" s="6"/>
      <c r="W359" s="6"/>
      <c r="X359" s="6"/>
      <c r="Y359" s="6"/>
      <c r="Z359" s="6"/>
      <c r="AA359" s="6"/>
    </row>
    <row r="360" ht="15.75" customHeight="1">
      <c r="A360" s="59"/>
      <c r="B360" s="59"/>
      <c r="C360" s="59"/>
      <c r="D360" s="59"/>
      <c r="E360" s="59"/>
      <c r="F360" s="59"/>
      <c r="G360" s="59"/>
      <c r="H360" s="59"/>
      <c r="I360" s="59"/>
      <c r="J360" s="59"/>
      <c r="K360" s="59"/>
      <c r="L360" s="59"/>
      <c r="M360" s="59"/>
      <c r="N360" s="59"/>
      <c r="O360" s="7"/>
      <c r="P360" s="6"/>
      <c r="Q360" s="6"/>
      <c r="R360" s="6"/>
      <c r="S360" s="6"/>
      <c r="T360" s="6"/>
      <c r="U360" s="6"/>
      <c r="V360" s="6"/>
      <c r="W360" s="6"/>
      <c r="X360" s="6"/>
      <c r="Y360" s="6"/>
      <c r="Z360" s="6"/>
      <c r="AA360" s="6"/>
    </row>
    <row r="361" ht="15.75" customHeight="1">
      <c r="A361" s="59"/>
      <c r="B361" s="59"/>
      <c r="C361" s="59"/>
      <c r="D361" s="59"/>
      <c r="E361" s="59"/>
      <c r="F361" s="59"/>
      <c r="G361" s="59"/>
      <c r="H361" s="59"/>
      <c r="I361" s="59"/>
      <c r="J361" s="59"/>
      <c r="K361" s="59"/>
      <c r="L361" s="59"/>
      <c r="M361" s="59"/>
      <c r="N361" s="59"/>
      <c r="O361" s="7"/>
      <c r="P361" s="6"/>
      <c r="Q361" s="6"/>
      <c r="R361" s="6"/>
      <c r="S361" s="6"/>
      <c r="T361" s="6"/>
      <c r="U361" s="6"/>
      <c r="V361" s="6"/>
      <c r="W361" s="6"/>
      <c r="X361" s="6"/>
      <c r="Y361" s="6"/>
      <c r="Z361" s="6"/>
      <c r="AA361" s="6"/>
    </row>
    <row r="362" ht="15.75" customHeight="1">
      <c r="A362" s="59"/>
      <c r="B362" s="59"/>
      <c r="C362" s="59"/>
      <c r="D362" s="59"/>
      <c r="E362" s="59"/>
      <c r="F362" s="59"/>
      <c r="G362" s="59"/>
      <c r="H362" s="59"/>
      <c r="I362" s="59"/>
      <c r="J362" s="59"/>
      <c r="K362" s="59"/>
      <c r="L362" s="59"/>
      <c r="M362" s="59"/>
      <c r="N362" s="59"/>
      <c r="O362" s="7"/>
      <c r="P362" s="6"/>
      <c r="Q362" s="6"/>
      <c r="R362" s="6"/>
      <c r="S362" s="6"/>
      <c r="T362" s="6"/>
      <c r="U362" s="6"/>
      <c r="V362" s="6"/>
      <c r="W362" s="6"/>
      <c r="X362" s="6"/>
      <c r="Y362" s="6"/>
      <c r="Z362" s="6"/>
      <c r="AA362" s="6"/>
    </row>
    <row r="363" ht="15.75" customHeight="1">
      <c r="A363" s="59"/>
      <c r="B363" s="59"/>
      <c r="C363" s="59"/>
      <c r="D363" s="59"/>
      <c r="E363" s="59"/>
      <c r="F363" s="59"/>
      <c r="G363" s="59"/>
      <c r="H363" s="59"/>
      <c r="I363" s="59"/>
      <c r="J363" s="59"/>
      <c r="K363" s="59"/>
      <c r="L363" s="59"/>
      <c r="M363" s="59"/>
      <c r="N363" s="59"/>
      <c r="O363" s="7"/>
      <c r="P363" s="6"/>
      <c r="Q363" s="6"/>
      <c r="R363" s="6"/>
      <c r="S363" s="6"/>
      <c r="T363" s="6"/>
      <c r="U363" s="6"/>
      <c r="V363" s="6"/>
      <c r="W363" s="6"/>
      <c r="X363" s="6"/>
      <c r="Y363" s="6"/>
      <c r="Z363" s="6"/>
      <c r="AA363" s="6"/>
    </row>
    <row r="364" ht="15.75" customHeight="1">
      <c r="A364" s="59"/>
      <c r="B364" s="59"/>
      <c r="C364" s="59"/>
      <c r="D364" s="59"/>
      <c r="E364" s="59"/>
      <c r="F364" s="59"/>
      <c r="G364" s="59"/>
      <c r="H364" s="59"/>
      <c r="I364" s="59"/>
      <c r="J364" s="59"/>
      <c r="K364" s="59"/>
      <c r="L364" s="59"/>
      <c r="M364" s="59"/>
      <c r="N364" s="59"/>
      <c r="O364" s="7"/>
      <c r="P364" s="6"/>
      <c r="Q364" s="6"/>
      <c r="R364" s="6"/>
      <c r="S364" s="6"/>
      <c r="T364" s="6"/>
      <c r="U364" s="6"/>
      <c r="V364" s="6"/>
      <c r="W364" s="6"/>
      <c r="X364" s="6"/>
      <c r="Y364" s="6"/>
      <c r="Z364" s="6"/>
      <c r="AA364" s="6"/>
    </row>
    <row r="365" ht="15.75" customHeight="1">
      <c r="A365" s="59"/>
      <c r="B365" s="59"/>
      <c r="C365" s="59"/>
      <c r="D365" s="59"/>
      <c r="E365" s="59"/>
      <c r="F365" s="59"/>
      <c r="G365" s="59"/>
      <c r="H365" s="59"/>
      <c r="I365" s="59"/>
      <c r="J365" s="59"/>
      <c r="K365" s="59"/>
      <c r="L365" s="59"/>
      <c r="M365" s="59"/>
      <c r="N365" s="59"/>
      <c r="O365" s="7"/>
      <c r="P365" s="6"/>
      <c r="Q365" s="6"/>
      <c r="R365" s="6"/>
      <c r="S365" s="6"/>
      <c r="T365" s="6"/>
      <c r="U365" s="6"/>
      <c r="V365" s="6"/>
      <c r="W365" s="6"/>
      <c r="X365" s="6"/>
      <c r="Y365" s="6"/>
      <c r="Z365" s="6"/>
      <c r="AA365" s="6"/>
    </row>
    <row r="366" ht="15.75" customHeight="1">
      <c r="A366" s="59"/>
      <c r="B366" s="59"/>
      <c r="C366" s="59"/>
      <c r="D366" s="59"/>
      <c r="E366" s="59"/>
      <c r="F366" s="59"/>
      <c r="G366" s="59"/>
      <c r="H366" s="59"/>
      <c r="I366" s="59"/>
      <c r="J366" s="59"/>
      <c r="K366" s="59"/>
      <c r="L366" s="59"/>
      <c r="M366" s="59"/>
      <c r="N366" s="59"/>
      <c r="O366" s="7"/>
      <c r="P366" s="6"/>
      <c r="Q366" s="6"/>
      <c r="R366" s="6"/>
      <c r="S366" s="6"/>
      <c r="T366" s="6"/>
      <c r="U366" s="6"/>
      <c r="V366" s="6"/>
      <c r="W366" s="6"/>
      <c r="X366" s="6"/>
      <c r="Y366" s="6"/>
      <c r="Z366" s="6"/>
      <c r="AA366" s="6"/>
    </row>
    <row r="367" ht="15.75" customHeight="1">
      <c r="A367" s="59"/>
      <c r="B367" s="59"/>
      <c r="C367" s="59"/>
      <c r="D367" s="59"/>
      <c r="E367" s="59"/>
      <c r="F367" s="59"/>
      <c r="G367" s="59"/>
      <c r="H367" s="59"/>
      <c r="I367" s="59"/>
      <c r="J367" s="59"/>
      <c r="K367" s="59"/>
      <c r="L367" s="59"/>
      <c r="M367" s="59"/>
      <c r="N367" s="59"/>
      <c r="O367" s="7"/>
      <c r="P367" s="6"/>
      <c r="Q367" s="6"/>
      <c r="R367" s="6"/>
      <c r="S367" s="6"/>
      <c r="T367" s="6"/>
      <c r="U367" s="6"/>
      <c r="V367" s="6"/>
      <c r="W367" s="6"/>
      <c r="X367" s="6"/>
      <c r="Y367" s="6"/>
      <c r="Z367" s="6"/>
      <c r="AA367" s="6"/>
    </row>
    <row r="368" ht="15.75" customHeight="1">
      <c r="A368" s="59"/>
      <c r="B368" s="59"/>
      <c r="C368" s="59"/>
      <c r="D368" s="59"/>
      <c r="E368" s="59"/>
      <c r="F368" s="59"/>
      <c r="G368" s="59"/>
      <c r="H368" s="59"/>
      <c r="I368" s="59"/>
      <c r="J368" s="59"/>
      <c r="K368" s="59"/>
      <c r="L368" s="59"/>
      <c r="M368" s="59"/>
      <c r="N368" s="59"/>
      <c r="O368" s="7"/>
      <c r="P368" s="6"/>
      <c r="Q368" s="6"/>
      <c r="R368" s="6"/>
      <c r="S368" s="6"/>
      <c r="T368" s="6"/>
      <c r="U368" s="6"/>
      <c r="V368" s="6"/>
      <c r="W368" s="6"/>
      <c r="X368" s="6"/>
      <c r="Y368" s="6"/>
      <c r="Z368" s="6"/>
      <c r="AA368" s="6"/>
    </row>
    <row r="369" ht="15.75" customHeight="1">
      <c r="A369" s="59"/>
      <c r="B369" s="59"/>
      <c r="C369" s="59"/>
      <c r="D369" s="59"/>
      <c r="E369" s="59"/>
      <c r="F369" s="59"/>
      <c r="G369" s="59"/>
      <c r="H369" s="59"/>
      <c r="I369" s="59"/>
      <c r="J369" s="59"/>
      <c r="K369" s="59"/>
      <c r="L369" s="59"/>
      <c r="M369" s="59"/>
      <c r="N369" s="59"/>
      <c r="O369" s="7"/>
      <c r="P369" s="6"/>
      <c r="Q369" s="6"/>
      <c r="R369" s="6"/>
      <c r="S369" s="6"/>
      <c r="T369" s="6"/>
      <c r="U369" s="6"/>
      <c r="V369" s="6"/>
      <c r="W369" s="6"/>
      <c r="X369" s="6"/>
      <c r="Y369" s="6"/>
      <c r="Z369" s="6"/>
      <c r="AA369" s="6"/>
    </row>
    <row r="370" ht="15.75" customHeight="1">
      <c r="A370" s="59"/>
      <c r="B370" s="59"/>
      <c r="C370" s="59"/>
      <c r="D370" s="59"/>
      <c r="E370" s="59"/>
      <c r="F370" s="59"/>
      <c r="G370" s="59"/>
      <c r="H370" s="59"/>
      <c r="I370" s="59"/>
      <c r="J370" s="59"/>
      <c r="K370" s="59"/>
      <c r="L370" s="59"/>
      <c r="M370" s="59"/>
      <c r="N370" s="59"/>
      <c r="O370" s="7"/>
      <c r="P370" s="6"/>
      <c r="Q370" s="6"/>
      <c r="R370" s="6"/>
      <c r="S370" s="6"/>
      <c r="T370" s="6"/>
      <c r="U370" s="6"/>
      <c r="V370" s="6"/>
      <c r="W370" s="6"/>
      <c r="X370" s="6"/>
      <c r="Y370" s="6"/>
      <c r="Z370" s="6"/>
      <c r="AA370" s="6"/>
    </row>
    <row r="371" ht="15.75" customHeight="1">
      <c r="A371" s="59"/>
      <c r="B371" s="59"/>
      <c r="C371" s="59"/>
      <c r="D371" s="59"/>
      <c r="E371" s="59"/>
      <c r="F371" s="59"/>
      <c r="G371" s="59"/>
      <c r="H371" s="59"/>
      <c r="I371" s="59"/>
      <c r="J371" s="59"/>
      <c r="K371" s="59"/>
      <c r="L371" s="59"/>
      <c r="M371" s="59"/>
      <c r="N371" s="59"/>
      <c r="O371" s="7"/>
      <c r="P371" s="6"/>
      <c r="Q371" s="6"/>
      <c r="R371" s="6"/>
      <c r="S371" s="6"/>
      <c r="T371" s="6"/>
      <c r="U371" s="6"/>
      <c r="V371" s="6"/>
      <c r="W371" s="6"/>
      <c r="X371" s="6"/>
      <c r="Y371" s="6"/>
      <c r="Z371" s="6"/>
      <c r="AA371" s="6"/>
    </row>
    <row r="372" ht="15.75" customHeight="1">
      <c r="A372" s="59"/>
      <c r="B372" s="59"/>
      <c r="C372" s="59"/>
      <c r="D372" s="59"/>
      <c r="E372" s="59"/>
      <c r="F372" s="59"/>
      <c r="G372" s="59"/>
      <c r="H372" s="59"/>
      <c r="I372" s="59"/>
      <c r="J372" s="59"/>
      <c r="K372" s="59"/>
      <c r="L372" s="59"/>
      <c r="M372" s="59"/>
      <c r="N372" s="59"/>
      <c r="O372" s="7"/>
      <c r="P372" s="6"/>
      <c r="Q372" s="6"/>
      <c r="R372" s="6"/>
      <c r="S372" s="6"/>
      <c r="T372" s="6"/>
      <c r="U372" s="6"/>
      <c r="V372" s="6"/>
      <c r="W372" s="6"/>
      <c r="X372" s="6"/>
      <c r="Y372" s="6"/>
      <c r="Z372" s="6"/>
      <c r="AA372" s="6"/>
    </row>
    <row r="373" ht="15.75" customHeight="1">
      <c r="A373" s="59"/>
      <c r="B373" s="59"/>
      <c r="C373" s="59"/>
      <c r="D373" s="59"/>
      <c r="E373" s="59"/>
      <c r="F373" s="59"/>
      <c r="G373" s="59"/>
      <c r="H373" s="59"/>
      <c r="I373" s="59"/>
      <c r="J373" s="59"/>
      <c r="K373" s="59"/>
      <c r="L373" s="59"/>
      <c r="M373" s="59"/>
      <c r="N373" s="59"/>
      <c r="O373" s="7"/>
      <c r="P373" s="6"/>
      <c r="Q373" s="6"/>
      <c r="R373" s="6"/>
      <c r="S373" s="6"/>
      <c r="T373" s="6"/>
      <c r="U373" s="6"/>
      <c r="V373" s="6"/>
      <c r="W373" s="6"/>
      <c r="X373" s="6"/>
      <c r="Y373" s="6"/>
      <c r="Z373" s="6"/>
      <c r="AA373" s="6"/>
    </row>
    <row r="374" ht="15.75" customHeight="1">
      <c r="A374" s="59"/>
      <c r="B374" s="59"/>
      <c r="C374" s="59"/>
      <c r="D374" s="59"/>
      <c r="E374" s="59"/>
      <c r="F374" s="59"/>
      <c r="G374" s="59"/>
      <c r="H374" s="59"/>
      <c r="I374" s="59"/>
      <c r="J374" s="59"/>
      <c r="K374" s="59"/>
      <c r="L374" s="59"/>
      <c r="M374" s="59"/>
      <c r="N374" s="59"/>
      <c r="O374" s="7"/>
      <c r="P374" s="6"/>
      <c r="Q374" s="6"/>
      <c r="R374" s="6"/>
      <c r="S374" s="6"/>
      <c r="T374" s="6"/>
      <c r="U374" s="6"/>
      <c r="V374" s="6"/>
      <c r="W374" s="6"/>
      <c r="X374" s="6"/>
      <c r="Y374" s="6"/>
      <c r="Z374" s="6"/>
      <c r="AA374" s="6"/>
    </row>
    <row r="375" ht="15.75" customHeight="1">
      <c r="A375" s="59"/>
      <c r="B375" s="59"/>
      <c r="C375" s="59"/>
      <c r="D375" s="59"/>
      <c r="E375" s="59"/>
      <c r="F375" s="59"/>
      <c r="G375" s="59"/>
      <c r="H375" s="59"/>
      <c r="I375" s="59"/>
      <c r="J375" s="59"/>
      <c r="K375" s="59"/>
      <c r="L375" s="59"/>
      <c r="M375" s="59"/>
      <c r="N375" s="59"/>
      <c r="O375" s="7"/>
      <c r="P375" s="6"/>
      <c r="Q375" s="6"/>
      <c r="R375" s="6"/>
      <c r="S375" s="6"/>
      <c r="T375" s="6"/>
      <c r="U375" s="6"/>
      <c r="V375" s="6"/>
      <c r="W375" s="6"/>
      <c r="X375" s="6"/>
      <c r="Y375" s="6"/>
      <c r="Z375" s="6"/>
      <c r="AA375" s="6"/>
    </row>
    <row r="376" ht="15.75" customHeight="1">
      <c r="A376" s="59"/>
      <c r="B376" s="59"/>
      <c r="C376" s="59"/>
      <c r="D376" s="59"/>
      <c r="E376" s="59"/>
      <c r="F376" s="59"/>
      <c r="G376" s="59"/>
      <c r="H376" s="59"/>
      <c r="I376" s="59"/>
      <c r="J376" s="59"/>
      <c r="K376" s="59"/>
      <c r="L376" s="59"/>
      <c r="M376" s="59"/>
      <c r="N376" s="59"/>
      <c r="O376" s="7"/>
      <c r="P376" s="6"/>
      <c r="Q376" s="6"/>
      <c r="R376" s="6"/>
      <c r="S376" s="6"/>
      <c r="T376" s="6"/>
      <c r="U376" s="6"/>
      <c r="V376" s="6"/>
      <c r="W376" s="6"/>
      <c r="X376" s="6"/>
      <c r="Y376" s="6"/>
      <c r="Z376" s="6"/>
      <c r="AA376" s="6"/>
    </row>
    <row r="377" ht="15.75" customHeight="1">
      <c r="A377" s="59"/>
      <c r="B377" s="59"/>
      <c r="C377" s="59"/>
      <c r="D377" s="59"/>
      <c r="E377" s="59"/>
      <c r="F377" s="59"/>
      <c r="G377" s="59"/>
      <c r="H377" s="59"/>
      <c r="I377" s="59"/>
      <c r="J377" s="59"/>
      <c r="K377" s="59"/>
      <c r="L377" s="59"/>
      <c r="M377" s="59"/>
      <c r="N377" s="59"/>
      <c r="O377" s="7"/>
      <c r="P377" s="6"/>
      <c r="Q377" s="6"/>
      <c r="R377" s="6"/>
      <c r="S377" s="6"/>
      <c r="T377" s="6"/>
      <c r="U377" s="6"/>
      <c r="V377" s="6"/>
      <c r="W377" s="6"/>
      <c r="X377" s="6"/>
      <c r="Y377" s="6"/>
      <c r="Z377" s="6"/>
      <c r="AA377" s="6"/>
    </row>
    <row r="378" ht="15.75" customHeight="1">
      <c r="A378" s="59"/>
      <c r="B378" s="59"/>
      <c r="C378" s="59"/>
      <c r="D378" s="59"/>
      <c r="E378" s="59"/>
      <c r="F378" s="59"/>
      <c r="G378" s="59"/>
      <c r="H378" s="59"/>
      <c r="I378" s="59"/>
      <c r="J378" s="59"/>
      <c r="K378" s="59"/>
      <c r="L378" s="59"/>
      <c r="M378" s="59"/>
      <c r="N378" s="59"/>
      <c r="O378" s="7"/>
      <c r="P378" s="6"/>
      <c r="Q378" s="6"/>
      <c r="R378" s="6"/>
      <c r="S378" s="6"/>
      <c r="T378" s="6"/>
      <c r="U378" s="6"/>
      <c r="V378" s="6"/>
      <c r="W378" s="6"/>
      <c r="X378" s="6"/>
      <c r="Y378" s="6"/>
      <c r="Z378" s="6"/>
      <c r="AA378" s="6"/>
    </row>
    <row r="379" ht="15.75" customHeight="1">
      <c r="A379" s="59"/>
      <c r="B379" s="59"/>
      <c r="C379" s="59"/>
      <c r="D379" s="59"/>
      <c r="E379" s="59"/>
      <c r="F379" s="59"/>
      <c r="G379" s="59"/>
      <c r="H379" s="59"/>
      <c r="I379" s="59"/>
      <c r="J379" s="59"/>
      <c r="K379" s="59"/>
      <c r="L379" s="59"/>
      <c r="M379" s="59"/>
      <c r="N379" s="59"/>
      <c r="O379" s="7"/>
      <c r="P379" s="6"/>
      <c r="Q379" s="6"/>
      <c r="R379" s="6"/>
      <c r="S379" s="6"/>
      <c r="T379" s="6"/>
      <c r="U379" s="6"/>
      <c r="V379" s="6"/>
      <c r="W379" s="6"/>
      <c r="X379" s="6"/>
      <c r="Y379" s="6"/>
      <c r="Z379" s="6"/>
      <c r="AA379" s="6"/>
    </row>
    <row r="380" ht="15.75" customHeight="1">
      <c r="A380" s="59"/>
      <c r="B380" s="59"/>
      <c r="C380" s="59"/>
      <c r="D380" s="59"/>
      <c r="E380" s="59"/>
      <c r="F380" s="59"/>
      <c r="G380" s="59"/>
      <c r="H380" s="59"/>
      <c r="I380" s="59"/>
      <c r="J380" s="59"/>
      <c r="K380" s="59"/>
      <c r="L380" s="59"/>
      <c r="M380" s="59"/>
      <c r="N380" s="59"/>
      <c r="O380" s="7"/>
      <c r="P380" s="6"/>
      <c r="Q380" s="6"/>
      <c r="R380" s="6"/>
      <c r="S380" s="6"/>
      <c r="T380" s="6"/>
      <c r="U380" s="6"/>
      <c r="V380" s="6"/>
      <c r="W380" s="6"/>
      <c r="X380" s="6"/>
      <c r="Y380" s="6"/>
      <c r="Z380" s="6"/>
      <c r="AA380" s="6"/>
    </row>
    <row r="381" ht="15.75" customHeight="1">
      <c r="A381" s="59"/>
      <c r="B381" s="59"/>
      <c r="C381" s="59"/>
      <c r="D381" s="59"/>
      <c r="E381" s="59"/>
      <c r="F381" s="59"/>
      <c r="G381" s="59"/>
      <c r="H381" s="59"/>
      <c r="I381" s="59"/>
      <c r="J381" s="59"/>
      <c r="K381" s="59"/>
      <c r="L381" s="59"/>
      <c r="M381" s="59"/>
      <c r="N381" s="59"/>
      <c r="O381" s="7"/>
      <c r="P381" s="6"/>
      <c r="Q381" s="6"/>
      <c r="R381" s="6"/>
      <c r="S381" s="6"/>
      <c r="T381" s="6"/>
      <c r="U381" s="6"/>
      <c r="V381" s="6"/>
      <c r="W381" s="6"/>
      <c r="X381" s="6"/>
      <c r="Y381" s="6"/>
      <c r="Z381" s="6"/>
      <c r="AA381" s="6"/>
    </row>
    <row r="382" ht="15.75" customHeight="1">
      <c r="A382" s="59"/>
      <c r="B382" s="59"/>
      <c r="C382" s="59"/>
      <c r="D382" s="59"/>
      <c r="E382" s="59"/>
      <c r="F382" s="59"/>
      <c r="G382" s="59"/>
      <c r="H382" s="59"/>
      <c r="I382" s="59"/>
      <c r="J382" s="59"/>
      <c r="K382" s="59"/>
      <c r="L382" s="59"/>
      <c r="M382" s="59"/>
      <c r="N382" s="59"/>
      <c r="O382" s="7"/>
      <c r="P382" s="6"/>
      <c r="Q382" s="6"/>
      <c r="R382" s="6"/>
      <c r="S382" s="6"/>
      <c r="T382" s="6"/>
      <c r="U382" s="6"/>
      <c r="V382" s="6"/>
      <c r="W382" s="6"/>
      <c r="X382" s="6"/>
      <c r="Y382" s="6"/>
      <c r="Z382" s="6"/>
      <c r="AA382" s="6"/>
    </row>
    <row r="383" ht="15.75" customHeight="1">
      <c r="A383" s="59"/>
      <c r="B383" s="59"/>
      <c r="C383" s="59"/>
      <c r="D383" s="59"/>
      <c r="E383" s="59"/>
      <c r="F383" s="59"/>
      <c r="G383" s="59"/>
      <c r="H383" s="59"/>
      <c r="I383" s="59"/>
      <c r="J383" s="59"/>
      <c r="K383" s="59"/>
      <c r="L383" s="59"/>
      <c r="M383" s="59"/>
      <c r="N383" s="59"/>
      <c r="O383" s="7"/>
      <c r="P383" s="6"/>
      <c r="Q383" s="6"/>
      <c r="R383" s="6"/>
      <c r="S383" s="6"/>
      <c r="T383" s="6"/>
      <c r="U383" s="6"/>
      <c r="V383" s="6"/>
      <c r="W383" s="6"/>
      <c r="X383" s="6"/>
      <c r="Y383" s="6"/>
      <c r="Z383" s="6"/>
      <c r="AA383" s="6"/>
    </row>
    <row r="384" ht="15.75" customHeight="1">
      <c r="A384" s="59"/>
      <c r="B384" s="59"/>
      <c r="C384" s="59"/>
      <c r="D384" s="59"/>
      <c r="E384" s="59"/>
      <c r="F384" s="59"/>
      <c r="G384" s="59"/>
      <c r="H384" s="59"/>
      <c r="I384" s="59"/>
      <c r="J384" s="59"/>
      <c r="K384" s="59"/>
      <c r="L384" s="59"/>
      <c r="M384" s="59"/>
      <c r="N384" s="59"/>
      <c r="O384" s="7"/>
      <c r="P384" s="6"/>
      <c r="Q384" s="6"/>
      <c r="R384" s="6"/>
      <c r="S384" s="6"/>
      <c r="T384" s="6"/>
      <c r="U384" s="6"/>
      <c r="V384" s="6"/>
      <c r="W384" s="6"/>
      <c r="X384" s="6"/>
      <c r="Y384" s="6"/>
      <c r="Z384" s="6"/>
      <c r="AA384" s="6"/>
    </row>
    <row r="385" ht="15.75" customHeight="1">
      <c r="A385" s="59"/>
      <c r="B385" s="59"/>
      <c r="C385" s="59"/>
      <c r="D385" s="59"/>
      <c r="E385" s="59"/>
      <c r="F385" s="59"/>
      <c r="G385" s="59"/>
      <c r="H385" s="59"/>
      <c r="I385" s="59"/>
      <c r="J385" s="59"/>
      <c r="K385" s="59"/>
      <c r="L385" s="59"/>
      <c r="M385" s="59"/>
      <c r="N385" s="59"/>
      <c r="O385" s="7"/>
      <c r="P385" s="6"/>
      <c r="Q385" s="6"/>
      <c r="R385" s="6"/>
      <c r="S385" s="6"/>
      <c r="T385" s="6"/>
      <c r="U385" s="6"/>
      <c r="V385" s="6"/>
      <c r="W385" s="6"/>
      <c r="X385" s="6"/>
      <c r="Y385" s="6"/>
      <c r="Z385" s="6"/>
      <c r="AA385" s="6"/>
    </row>
    <row r="386" ht="15.75" customHeight="1">
      <c r="A386" s="59"/>
      <c r="B386" s="59"/>
      <c r="C386" s="59"/>
      <c r="D386" s="59"/>
      <c r="E386" s="59"/>
      <c r="F386" s="59"/>
      <c r="G386" s="59"/>
      <c r="H386" s="59"/>
      <c r="I386" s="59"/>
      <c r="J386" s="59"/>
      <c r="K386" s="59"/>
      <c r="L386" s="59"/>
      <c r="M386" s="59"/>
      <c r="N386" s="59"/>
      <c r="O386" s="7"/>
      <c r="P386" s="6"/>
      <c r="Q386" s="6"/>
      <c r="R386" s="6"/>
      <c r="S386" s="6"/>
      <c r="T386" s="6"/>
      <c r="U386" s="6"/>
      <c r="V386" s="6"/>
      <c r="W386" s="6"/>
      <c r="X386" s="6"/>
      <c r="Y386" s="6"/>
      <c r="Z386" s="6"/>
      <c r="AA386" s="6"/>
    </row>
    <row r="387" ht="15.75" customHeight="1">
      <c r="A387" s="59"/>
      <c r="B387" s="59"/>
      <c r="C387" s="59"/>
      <c r="D387" s="59"/>
      <c r="E387" s="59"/>
      <c r="F387" s="59"/>
      <c r="G387" s="59"/>
      <c r="H387" s="59"/>
      <c r="I387" s="59"/>
      <c r="J387" s="59"/>
      <c r="K387" s="59"/>
      <c r="L387" s="59"/>
      <c r="M387" s="59"/>
      <c r="N387" s="59"/>
      <c r="O387" s="7"/>
      <c r="P387" s="6"/>
      <c r="Q387" s="6"/>
      <c r="R387" s="6"/>
      <c r="S387" s="6"/>
      <c r="T387" s="6"/>
      <c r="U387" s="6"/>
      <c r="V387" s="6"/>
      <c r="W387" s="6"/>
      <c r="X387" s="6"/>
      <c r="Y387" s="6"/>
      <c r="Z387" s="6"/>
      <c r="AA387" s="6"/>
    </row>
    <row r="388" ht="15.75" customHeight="1">
      <c r="A388" s="59"/>
      <c r="B388" s="59"/>
      <c r="C388" s="59"/>
      <c r="D388" s="59"/>
      <c r="E388" s="59"/>
      <c r="F388" s="59"/>
      <c r="G388" s="59"/>
      <c r="H388" s="59"/>
      <c r="I388" s="59"/>
      <c r="J388" s="59"/>
      <c r="K388" s="59"/>
      <c r="L388" s="59"/>
      <c r="M388" s="59"/>
      <c r="N388" s="59"/>
      <c r="O388" s="7"/>
      <c r="P388" s="6"/>
      <c r="Q388" s="6"/>
      <c r="R388" s="6"/>
      <c r="S388" s="6"/>
      <c r="T388" s="6"/>
      <c r="U388" s="6"/>
      <c r="V388" s="6"/>
      <c r="W388" s="6"/>
      <c r="X388" s="6"/>
      <c r="Y388" s="6"/>
      <c r="Z388" s="6"/>
      <c r="AA388" s="6"/>
    </row>
    <row r="389" ht="15.75" customHeight="1">
      <c r="A389" s="59"/>
      <c r="B389" s="59"/>
      <c r="C389" s="59"/>
      <c r="D389" s="59"/>
      <c r="E389" s="59"/>
      <c r="F389" s="59"/>
      <c r="G389" s="59"/>
      <c r="H389" s="59"/>
      <c r="I389" s="59"/>
      <c r="J389" s="59"/>
      <c r="K389" s="59"/>
      <c r="L389" s="59"/>
      <c r="M389" s="59"/>
      <c r="N389" s="59"/>
      <c r="O389" s="7"/>
      <c r="P389" s="6"/>
      <c r="Q389" s="6"/>
      <c r="R389" s="6"/>
      <c r="S389" s="6"/>
      <c r="T389" s="6"/>
      <c r="U389" s="6"/>
      <c r="V389" s="6"/>
      <c r="W389" s="6"/>
      <c r="X389" s="6"/>
      <c r="Y389" s="6"/>
      <c r="Z389" s="6"/>
      <c r="AA389" s="6"/>
    </row>
    <row r="390" ht="15.75" customHeight="1">
      <c r="A390" s="59"/>
      <c r="B390" s="59"/>
      <c r="C390" s="59"/>
      <c r="D390" s="59"/>
      <c r="E390" s="59"/>
      <c r="F390" s="59"/>
      <c r="G390" s="59"/>
      <c r="H390" s="59"/>
      <c r="I390" s="59"/>
      <c r="J390" s="59"/>
      <c r="K390" s="59"/>
      <c r="L390" s="59"/>
      <c r="M390" s="59"/>
      <c r="N390" s="59"/>
      <c r="O390" s="7"/>
      <c r="P390" s="6"/>
      <c r="Q390" s="6"/>
      <c r="R390" s="6"/>
      <c r="S390" s="6"/>
      <c r="T390" s="6"/>
      <c r="U390" s="6"/>
      <c r="V390" s="6"/>
      <c r="W390" s="6"/>
      <c r="X390" s="6"/>
      <c r="Y390" s="6"/>
      <c r="Z390" s="6"/>
      <c r="AA390" s="6"/>
    </row>
    <row r="391" ht="15.75" customHeight="1">
      <c r="A391" s="59"/>
      <c r="B391" s="59"/>
      <c r="C391" s="59"/>
      <c r="D391" s="59"/>
      <c r="E391" s="59"/>
      <c r="F391" s="59"/>
      <c r="G391" s="59"/>
      <c r="H391" s="59"/>
      <c r="I391" s="59"/>
      <c r="J391" s="59"/>
      <c r="K391" s="59"/>
      <c r="L391" s="59"/>
      <c r="M391" s="59"/>
      <c r="N391" s="59"/>
      <c r="O391" s="7"/>
      <c r="P391" s="6"/>
      <c r="Q391" s="6"/>
      <c r="R391" s="6"/>
      <c r="S391" s="6"/>
      <c r="T391" s="6"/>
      <c r="U391" s="6"/>
      <c r="V391" s="6"/>
      <c r="W391" s="6"/>
      <c r="X391" s="6"/>
      <c r="Y391" s="6"/>
      <c r="Z391" s="6"/>
      <c r="AA391" s="6"/>
    </row>
    <row r="392" ht="15.75" customHeight="1">
      <c r="A392" s="59"/>
      <c r="B392" s="59"/>
      <c r="C392" s="59"/>
      <c r="D392" s="59"/>
      <c r="E392" s="59"/>
      <c r="F392" s="59"/>
      <c r="G392" s="59"/>
      <c r="H392" s="59"/>
      <c r="I392" s="59"/>
      <c r="J392" s="59"/>
      <c r="K392" s="59"/>
      <c r="L392" s="59"/>
      <c r="M392" s="59"/>
      <c r="N392" s="59"/>
      <c r="O392" s="7"/>
      <c r="P392" s="6"/>
      <c r="Q392" s="6"/>
      <c r="R392" s="6"/>
      <c r="S392" s="6"/>
      <c r="T392" s="6"/>
      <c r="U392" s="6"/>
      <c r="V392" s="6"/>
      <c r="W392" s="6"/>
      <c r="X392" s="6"/>
      <c r="Y392" s="6"/>
      <c r="Z392" s="6"/>
      <c r="AA392" s="6"/>
    </row>
    <row r="393" ht="15.75" customHeight="1">
      <c r="A393" s="59"/>
      <c r="B393" s="59"/>
      <c r="C393" s="59"/>
      <c r="D393" s="59"/>
      <c r="E393" s="59"/>
      <c r="F393" s="59"/>
      <c r="G393" s="59"/>
      <c r="H393" s="59"/>
      <c r="I393" s="59"/>
      <c r="J393" s="59"/>
      <c r="K393" s="59"/>
      <c r="L393" s="59"/>
      <c r="M393" s="59"/>
      <c r="N393" s="59"/>
      <c r="O393" s="7"/>
      <c r="P393" s="6"/>
      <c r="Q393" s="6"/>
      <c r="R393" s="6"/>
      <c r="S393" s="6"/>
      <c r="T393" s="6"/>
      <c r="U393" s="6"/>
      <c r="V393" s="6"/>
      <c r="W393" s="6"/>
      <c r="X393" s="6"/>
      <c r="Y393" s="6"/>
      <c r="Z393" s="6"/>
      <c r="AA393" s="6"/>
    </row>
    <row r="394" ht="15.75" customHeight="1">
      <c r="A394" s="59"/>
      <c r="B394" s="59"/>
      <c r="C394" s="59"/>
      <c r="D394" s="59"/>
      <c r="E394" s="59"/>
      <c r="F394" s="59"/>
      <c r="G394" s="59"/>
      <c r="H394" s="59"/>
      <c r="I394" s="59"/>
      <c r="J394" s="59"/>
      <c r="K394" s="59"/>
      <c r="L394" s="59"/>
      <c r="M394" s="59"/>
      <c r="N394" s="59"/>
      <c r="O394" s="7"/>
      <c r="P394" s="6"/>
      <c r="Q394" s="6"/>
      <c r="R394" s="6"/>
      <c r="S394" s="6"/>
      <c r="T394" s="6"/>
      <c r="U394" s="6"/>
      <c r="V394" s="6"/>
      <c r="W394" s="6"/>
      <c r="X394" s="6"/>
      <c r="Y394" s="6"/>
      <c r="Z394" s="6"/>
      <c r="AA394" s="6"/>
    </row>
    <row r="395" ht="15.75" customHeight="1">
      <c r="A395" s="59"/>
      <c r="B395" s="59"/>
      <c r="C395" s="59"/>
      <c r="D395" s="59"/>
      <c r="E395" s="59"/>
      <c r="F395" s="59"/>
      <c r="G395" s="59"/>
      <c r="H395" s="59"/>
      <c r="I395" s="59"/>
      <c r="J395" s="59"/>
      <c r="K395" s="59"/>
      <c r="L395" s="59"/>
      <c r="M395" s="59"/>
      <c r="N395" s="59"/>
      <c r="O395" s="7"/>
      <c r="P395" s="6"/>
      <c r="Q395" s="6"/>
      <c r="R395" s="6"/>
      <c r="S395" s="6"/>
      <c r="T395" s="6"/>
      <c r="U395" s="6"/>
      <c r="V395" s="6"/>
      <c r="W395" s="6"/>
      <c r="X395" s="6"/>
      <c r="Y395" s="6"/>
      <c r="Z395" s="6"/>
      <c r="AA395" s="6"/>
    </row>
    <row r="396" ht="15.75" customHeight="1">
      <c r="A396" s="59"/>
      <c r="B396" s="59"/>
      <c r="C396" s="59"/>
      <c r="D396" s="59"/>
      <c r="E396" s="59"/>
      <c r="F396" s="59"/>
      <c r="G396" s="59"/>
      <c r="H396" s="59"/>
      <c r="I396" s="59"/>
      <c r="J396" s="59"/>
      <c r="K396" s="59"/>
      <c r="L396" s="59"/>
      <c r="M396" s="59"/>
      <c r="N396" s="59"/>
      <c r="O396" s="7"/>
      <c r="P396" s="6"/>
      <c r="Q396" s="6"/>
      <c r="R396" s="6"/>
      <c r="S396" s="6"/>
      <c r="T396" s="6"/>
      <c r="U396" s="6"/>
      <c r="V396" s="6"/>
      <c r="W396" s="6"/>
      <c r="X396" s="6"/>
      <c r="Y396" s="6"/>
      <c r="Z396" s="6"/>
      <c r="AA396" s="6"/>
    </row>
    <row r="397" ht="15.75" customHeight="1">
      <c r="A397" s="59"/>
      <c r="B397" s="59"/>
      <c r="C397" s="59"/>
      <c r="D397" s="59"/>
      <c r="E397" s="59"/>
      <c r="F397" s="59"/>
      <c r="G397" s="59"/>
      <c r="H397" s="59"/>
      <c r="I397" s="59"/>
      <c r="J397" s="59"/>
      <c r="K397" s="59"/>
      <c r="L397" s="59"/>
      <c r="M397" s="59"/>
      <c r="N397" s="59"/>
      <c r="O397" s="7"/>
      <c r="P397" s="6"/>
      <c r="Q397" s="6"/>
      <c r="R397" s="6"/>
      <c r="S397" s="6"/>
      <c r="T397" s="6"/>
      <c r="U397" s="6"/>
      <c r="V397" s="6"/>
      <c r="W397" s="6"/>
      <c r="X397" s="6"/>
      <c r="Y397" s="6"/>
      <c r="Z397" s="6"/>
      <c r="AA397" s="6"/>
    </row>
    <row r="398" ht="15.75" customHeight="1">
      <c r="A398" s="59"/>
      <c r="B398" s="59"/>
      <c r="C398" s="59"/>
      <c r="D398" s="59"/>
      <c r="E398" s="59"/>
      <c r="F398" s="59"/>
      <c r="G398" s="59"/>
      <c r="H398" s="59"/>
      <c r="I398" s="59"/>
      <c r="J398" s="59"/>
      <c r="K398" s="59"/>
      <c r="L398" s="59"/>
      <c r="M398" s="59"/>
      <c r="N398" s="59"/>
      <c r="O398" s="7"/>
      <c r="P398" s="6"/>
      <c r="Q398" s="6"/>
      <c r="R398" s="6"/>
      <c r="S398" s="6"/>
      <c r="T398" s="6"/>
      <c r="U398" s="6"/>
      <c r="V398" s="6"/>
      <c r="W398" s="6"/>
      <c r="X398" s="6"/>
      <c r="Y398" s="6"/>
      <c r="Z398" s="6"/>
      <c r="AA398" s="6"/>
    </row>
    <row r="399" ht="15.75" customHeight="1">
      <c r="A399" s="59"/>
      <c r="B399" s="59"/>
      <c r="C399" s="59"/>
      <c r="D399" s="59"/>
      <c r="E399" s="59"/>
      <c r="F399" s="59"/>
      <c r="G399" s="59"/>
      <c r="H399" s="59"/>
      <c r="I399" s="59"/>
      <c r="J399" s="59"/>
      <c r="K399" s="59"/>
      <c r="L399" s="59"/>
      <c r="M399" s="59"/>
      <c r="N399" s="59"/>
      <c r="O399" s="7"/>
      <c r="P399" s="6"/>
      <c r="Q399" s="6"/>
      <c r="R399" s="6"/>
      <c r="S399" s="6"/>
      <c r="T399" s="6"/>
      <c r="U399" s="6"/>
      <c r="V399" s="6"/>
      <c r="W399" s="6"/>
      <c r="X399" s="6"/>
      <c r="Y399" s="6"/>
      <c r="Z399" s="6"/>
      <c r="AA399" s="6"/>
    </row>
    <row r="400" ht="15.75" customHeight="1">
      <c r="A400" s="59"/>
      <c r="B400" s="59"/>
      <c r="C400" s="59"/>
      <c r="D400" s="59"/>
      <c r="E400" s="59"/>
      <c r="F400" s="59"/>
      <c r="G400" s="59"/>
      <c r="H400" s="59"/>
      <c r="I400" s="59"/>
      <c r="J400" s="59"/>
      <c r="K400" s="59"/>
      <c r="L400" s="59"/>
      <c r="M400" s="59"/>
      <c r="N400" s="59"/>
      <c r="O400" s="7"/>
      <c r="P400" s="6"/>
      <c r="Q400" s="6"/>
      <c r="R400" s="6"/>
      <c r="S400" s="6"/>
      <c r="T400" s="6"/>
      <c r="U400" s="6"/>
      <c r="V400" s="6"/>
      <c r="W400" s="6"/>
      <c r="X400" s="6"/>
      <c r="Y400" s="6"/>
      <c r="Z400" s="6"/>
      <c r="AA400" s="6"/>
    </row>
    <row r="401" ht="15.75" customHeight="1">
      <c r="A401" s="59"/>
      <c r="B401" s="59"/>
      <c r="C401" s="59"/>
      <c r="D401" s="59"/>
      <c r="E401" s="59"/>
      <c r="F401" s="59"/>
      <c r="G401" s="59"/>
      <c r="H401" s="59"/>
      <c r="I401" s="59"/>
      <c r="J401" s="59"/>
      <c r="K401" s="59"/>
      <c r="L401" s="59"/>
      <c r="M401" s="59"/>
      <c r="N401" s="59"/>
      <c r="O401" s="7"/>
      <c r="P401" s="6"/>
      <c r="Q401" s="6"/>
      <c r="R401" s="6"/>
      <c r="S401" s="6"/>
      <c r="T401" s="6"/>
      <c r="U401" s="6"/>
      <c r="V401" s="6"/>
      <c r="W401" s="6"/>
      <c r="X401" s="6"/>
      <c r="Y401" s="6"/>
      <c r="Z401" s="6"/>
      <c r="AA401" s="6"/>
    </row>
    <row r="402" ht="15.75" customHeight="1">
      <c r="A402" s="59"/>
      <c r="B402" s="59"/>
      <c r="C402" s="59"/>
      <c r="D402" s="59"/>
      <c r="E402" s="59"/>
      <c r="F402" s="59"/>
      <c r="G402" s="59"/>
      <c r="H402" s="59"/>
      <c r="I402" s="59"/>
      <c r="J402" s="59"/>
      <c r="K402" s="59"/>
      <c r="L402" s="59"/>
      <c r="M402" s="59"/>
      <c r="N402" s="59"/>
      <c r="O402" s="7"/>
      <c r="P402" s="6"/>
      <c r="Q402" s="6"/>
      <c r="R402" s="6"/>
      <c r="S402" s="6"/>
      <c r="T402" s="6"/>
      <c r="U402" s="6"/>
      <c r="V402" s="6"/>
      <c r="W402" s="6"/>
      <c r="X402" s="6"/>
      <c r="Y402" s="6"/>
      <c r="Z402" s="6"/>
      <c r="AA402" s="6"/>
    </row>
    <row r="403" ht="15.75" customHeight="1">
      <c r="A403" s="59"/>
      <c r="B403" s="59"/>
      <c r="C403" s="59"/>
      <c r="D403" s="59"/>
      <c r="E403" s="59"/>
      <c r="F403" s="59"/>
      <c r="G403" s="59"/>
      <c r="H403" s="59"/>
      <c r="I403" s="59"/>
      <c r="J403" s="59"/>
      <c r="K403" s="59"/>
      <c r="L403" s="59"/>
      <c r="M403" s="59"/>
      <c r="N403" s="59"/>
      <c r="O403" s="7"/>
      <c r="P403" s="6"/>
      <c r="Q403" s="6"/>
      <c r="R403" s="6"/>
      <c r="S403" s="6"/>
      <c r="T403" s="6"/>
      <c r="U403" s="6"/>
      <c r="V403" s="6"/>
      <c r="W403" s="6"/>
      <c r="X403" s="6"/>
      <c r="Y403" s="6"/>
      <c r="Z403" s="6"/>
      <c r="AA403" s="6"/>
    </row>
    <row r="404" ht="15.75" customHeight="1">
      <c r="A404" s="59"/>
      <c r="B404" s="59"/>
      <c r="C404" s="59"/>
      <c r="D404" s="59"/>
      <c r="E404" s="59"/>
      <c r="F404" s="59"/>
      <c r="G404" s="59"/>
      <c r="H404" s="59"/>
      <c r="I404" s="59"/>
      <c r="J404" s="59"/>
      <c r="K404" s="59"/>
      <c r="L404" s="59"/>
      <c r="M404" s="59"/>
      <c r="N404" s="59"/>
      <c r="O404" s="7"/>
      <c r="P404" s="6"/>
      <c r="Q404" s="6"/>
      <c r="R404" s="6"/>
      <c r="S404" s="6"/>
      <c r="T404" s="6"/>
      <c r="U404" s="6"/>
      <c r="V404" s="6"/>
      <c r="W404" s="6"/>
      <c r="X404" s="6"/>
      <c r="Y404" s="6"/>
      <c r="Z404" s="6"/>
      <c r="AA404" s="6"/>
    </row>
    <row r="405" ht="15.75" customHeight="1">
      <c r="A405" s="59"/>
      <c r="B405" s="59"/>
      <c r="C405" s="59"/>
      <c r="D405" s="59"/>
      <c r="E405" s="59"/>
      <c r="F405" s="59"/>
      <c r="G405" s="59"/>
      <c r="H405" s="59"/>
      <c r="I405" s="59"/>
      <c r="J405" s="59"/>
      <c r="K405" s="59"/>
      <c r="L405" s="59"/>
      <c r="M405" s="59"/>
      <c r="N405" s="59"/>
      <c r="O405" s="7"/>
      <c r="P405" s="6"/>
      <c r="Q405" s="6"/>
      <c r="R405" s="6"/>
      <c r="S405" s="6"/>
      <c r="T405" s="6"/>
      <c r="U405" s="6"/>
      <c r="V405" s="6"/>
      <c r="W405" s="6"/>
      <c r="X405" s="6"/>
      <c r="Y405" s="6"/>
      <c r="Z405" s="6"/>
      <c r="AA405" s="6"/>
    </row>
    <row r="406" ht="15.75" customHeight="1">
      <c r="A406" s="59"/>
      <c r="B406" s="59"/>
      <c r="C406" s="59"/>
      <c r="D406" s="59"/>
      <c r="E406" s="59"/>
      <c r="F406" s="59"/>
      <c r="G406" s="59"/>
      <c r="H406" s="59"/>
      <c r="I406" s="59"/>
      <c r="J406" s="59"/>
      <c r="K406" s="59"/>
      <c r="L406" s="59"/>
      <c r="M406" s="59"/>
      <c r="N406" s="59"/>
      <c r="O406" s="7"/>
      <c r="P406" s="6"/>
      <c r="Q406" s="6"/>
      <c r="R406" s="6"/>
      <c r="S406" s="6"/>
      <c r="T406" s="6"/>
      <c r="U406" s="6"/>
      <c r="V406" s="6"/>
      <c r="W406" s="6"/>
      <c r="X406" s="6"/>
      <c r="Y406" s="6"/>
      <c r="Z406" s="6"/>
      <c r="AA406" s="6"/>
    </row>
    <row r="407" ht="15.75" customHeight="1">
      <c r="A407" s="59"/>
      <c r="B407" s="59"/>
      <c r="C407" s="59"/>
      <c r="D407" s="59"/>
      <c r="E407" s="59"/>
      <c r="F407" s="59"/>
      <c r="G407" s="59"/>
      <c r="H407" s="59"/>
      <c r="I407" s="59"/>
      <c r="J407" s="59"/>
      <c r="K407" s="59"/>
      <c r="L407" s="59"/>
      <c r="M407" s="59"/>
      <c r="N407" s="59"/>
      <c r="O407" s="7"/>
      <c r="P407" s="6"/>
      <c r="Q407" s="6"/>
      <c r="R407" s="6"/>
      <c r="S407" s="6"/>
      <c r="T407" s="6"/>
      <c r="U407" s="6"/>
      <c r="V407" s="6"/>
      <c r="W407" s="6"/>
      <c r="X407" s="6"/>
      <c r="Y407" s="6"/>
      <c r="Z407" s="6"/>
      <c r="AA407" s="6"/>
    </row>
    <row r="408" ht="15.75" customHeight="1">
      <c r="A408" s="59"/>
      <c r="B408" s="59"/>
      <c r="C408" s="59"/>
      <c r="D408" s="59"/>
      <c r="E408" s="59"/>
      <c r="F408" s="59"/>
      <c r="G408" s="59"/>
      <c r="H408" s="59"/>
      <c r="I408" s="59"/>
      <c r="J408" s="59"/>
      <c r="K408" s="59"/>
      <c r="L408" s="59"/>
      <c r="M408" s="59"/>
      <c r="N408" s="59"/>
      <c r="O408" s="7"/>
      <c r="P408" s="6"/>
      <c r="Q408" s="6"/>
      <c r="R408" s="6"/>
      <c r="S408" s="6"/>
      <c r="T408" s="6"/>
      <c r="U408" s="6"/>
      <c r="V408" s="6"/>
      <c r="W408" s="6"/>
      <c r="X408" s="6"/>
      <c r="Y408" s="6"/>
      <c r="Z408" s="6"/>
      <c r="AA408" s="6"/>
    </row>
    <row r="409" ht="15.75" customHeight="1">
      <c r="A409" s="59"/>
      <c r="B409" s="59"/>
      <c r="C409" s="59"/>
      <c r="D409" s="59"/>
      <c r="E409" s="59"/>
      <c r="F409" s="59"/>
      <c r="G409" s="59"/>
      <c r="H409" s="59"/>
      <c r="I409" s="59"/>
      <c r="J409" s="59"/>
      <c r="K409" s="59"/>
      <c r="L409" s="59"/>
      <c r="M409" s="59"/>
      <c r="N409" s="59"/>
      <c r="O409" s="7"/>
      <c r="P409" s="6"/>
      <c r="Q409" s="6"/>
      <c r="R409" s="6"/>
      <c r="S409" s="6"/>
      <c r="T409" s="6"/>
      <c r="U409" s="6"/>
      <c r="V409" s="6"/>
      <c r="W409" s="6"/>
      <c r="X409" s="6"/>
      <c r="Y409" s="6"/>
      <c r="Z409" s="6"/>
      <c r="AA409" s="6"/>
    </row>
    <row r="410" ht="15.75" customHeight="1">
      <c r="A410" s="59"/>
      <c r="B410" s="59"/>
      <c r="C410" s="59"/>
      <c r="D410" s="59"/>
      <c r="E410" s="59"/>
      <c r="F410" s="59"/>
      <c r="G410" s="59"/>
      <c r="H410" s="59"/>
      <c r="I410" s="59"/>
      <c r="J410" s="59"/>
      <c r="K410" s="59"/>
      <c r="L410" s="59"/>
      <c r="M410" s="59"/>
      <c r="N410" s="59"/>
      <c r="O410" s="7"/>
      <c r="P410" s="6"/>
      <c r="Q410" s="6"/>
      <c r="R410" s="6"/>
      <c r="S410" s="6"/>
      <c r="T410" s="6"/>
      <c r="U410" s="6"/>
      <c r="V410" s="6"/>
      <c r="W410" s="6"/>
      <c r="X410" s="6"/>
      <c r="Y410" s="6"/>
      <c r="Z410" s="6"/>
      <c r="AA410" s="6"/>
    </row>
    <row r="411" ht="15.75" customHeight="1">
      <c r="A411" s="59"/>
      <c r="B411" s="59"/>
      <c r="C411" s="59"/>
      <c r="D411" s="59"/>
      <c r="E411" s="59"/>
      <c r="F411" s="59"/>
      <c r="G411" s="59"/>
      <c r="H411" s="59"/>
      <c r="I411" s="59"/>
      <c r="J411" s="59"/>
      <c r="K411" s="59"/>
      <c r="L411" s="59"/>
      <c r="M411" s="59"/>
      <c r="N411" s="59"/>
      <c r="O411" s="7"/>
      <c r="P411" s="6"/>
      <c r="Q411" s="6"/>
      <c r="R411" s="6"/>
      <c r="S411" s="6"/>
      <c r="T411" s="6"/>
      <c r="U411" s="6"/>
      <c r="V411" s="6"/>
      <c r="W411" s="6"/>
      <c r="X411" s="6"/>
      <c r="Y411" s="6"/>
      <c r="Z411" s="6"/>
      <c r="AA411" s="6"/>
    </row>
    <row r="412" ht="15.75" customHeight="1">
      <c r="A412" s="59"/>
      <c r="B412" s="59"/>
      <c r="C412" s="59"/>
      <c r="D412" s="59"/>
      <c r="E412" s="59"/>
      <c r="F412" s="59"/>
      <c r="G412" s="59"/>
      <c r="H412" s="59"/>
      <c r="I412" s="59"/>
      <c r="J412" s="59"/>
      <c r="K412" s="59"/>
      <c r="L412" s="59"/>
      <c r="M412" s="59"/>
      <c r="N412" s="59"/>
      <c r="O412" s="7"/>
      <c r="P412" s="6"/>
      <c r="Q412" s="6"/>
      <c r="R412" s="6"/>
      <c r="S412" s="6"/>
      <c r="T412" s="6"/>
      <c r="U412" s="6"/>
      <c r="V412" s="6"/>
      <c r="W412" s="6"/>
      <c r="X412" s="6"/>
      <c r="Y412" s="6"/>
      <c r="Z412" s="6"/>
      <c r="AA412" s="6"/>
    </row>
    <row r="413" ht="15.75" customHeight="1">
      <c r="A413" s="59"/>
      <c r="B413" s="59"/>
      <c r="C413" s="59"/>
      <c r="D413" s="59"/>
      <c r="E413" s="59"/>
      <c r="F413" s="59"/>
      <c r="G413" s="59"/>
      <c r="H413" s="59"/>
      <c r="I413" s="59"/>
      <c r="J413" s="59"/>
      <c r="K413" s="59"/>
      <c r="L413" s="59"/>
      <c r="M413" s="59"/>
      <c r="N413" s="59"/>
      <c r="O413" s="7"/>
      <c r="P413" s="6"/>
      <c r="Q413" s="6"/>
      <c r="R413" s="6"/>
      <c r="S413" s="6"/>
      <c r="T413" s="6"/>
      <c r="U413" s="6"/>
      <c r="V413" s="6"/>
      <c r="W413" s="6"/>
      <c r="X413" s="6"/>
      <c r="Y413" s="6"/>
      <c r="Z413" s="6"/>
      <c r="AA413" s="6"/>
    </row>
    <row r="414" ht="15.75" customHeight="1">
      <c r="A414" s="59"/>
      <c r="B414" s="59"/>
      <c r="C414" s="59"/>
      <c r="D414" s="59"/>
      <c r="E414" s="59"/>
      <c r="F414" s="59"/>
      <c r="G414" s="59"/>
      <c r="H414" s="59"/>
      <c r="I414" s="59"/>
      <c r="J414" s="59"/>
      <c r="K414" s="59"/>
      <c r="L414" s="59"/>
      <c r="M414" s="59"/>
      <c r="N414" s="59"/>
      <c r="O414" s="7"/>
      <c r="P414" s="6"/>
      <c r="Q414" s="6"/>
      <c r="R414" s="6"/>
      <c r="S414" s="6"/>
      <c r="T414" s="6"/>
      <c r="U414" s="6"/>
      <c r="V414" s="6"/>
      <c r="W414" s="6"/>
      <c r="X414" s="6"/>
      <c r="Y414" s="6"/>
      <c r="Z414" s="6"/>
      <c r="AA414" s="6"/>
    </row>
    <row r="415" ht="15.75" customHeight="1">
      <c r="A415" s="59"/>
      <c r="B415" s="59"/>
      <c r="C415" s="59"/>
      <c r="D415" s="59"/>
      <c r="E415" s="59"/>
      <c r="F415" s="59"/>
      <c r="G415" s="59"/>
      <c r="H415" s="59"/>
      <c r="I415" s="59"/>
      <c r="J415" s="59"/>
      <c r="K415" s="59"/>
      <c r="L415" s="59"/>
      <c r="M415" s="59"/>
      <c r="N415" s="59"/>
      <c r="O415" s="7"/>
      <c r="P415" s="6"/>
      <c r="Q415" s="6"/>
      <c r="R415" s="6"/>
      <c r="S415" s="6"/>
      <c r="T415" s="6"/>
      <c r="U415" s="6"/>
      <c r="V415" s="6"/>
      <c r="W415" s="6"/>
      <c r="X415" s="6"/>
      <c r="Y415" s="6"/>
      <c r="Z415" s="6"/>
      <c r="AA415" s="6"/>
    </row>
    <row r="416" ht="15.75" customHeight="1">
      <c r="A416" s="59"/>
      <c r="B416" s="59"/>
      <c r="C416" s="59"/>
      <c r="D416" s="59"/>
      <c r="E416" s="59"/>
      <c r="F416" s="59"/>
      <c r="G416" s="59"/>
      <c r="H416" s="59"/>
      <c r="I416" s="59"/>
      <c r="J416" s="59"/>
      <c r="K416" s="59"/>
      <c r="L416" s="59"/>
      <c r="M416" s="59"/>
      <c r="N416" s="59"/>
      <c r="O416" s="7"/>
      <c r="P416" s="6"/>
      <c r="Q416" s="6"/>
      <c r="R416" s="6"/>
      <c r="S416" s="6"/>
      <c r="T416" s="6"/>
      <c r="U416" s="6"/>
      <c r="V416" s="6"/>
      <c r="W416" s="6"/>
      <c r="X416" s="6"/>
      <c r="Y416" s="6"/>
      <c r="Z416" s="6"/>
      <c r="AA416" s="6"/>
    </row>
    <row r="417" ht="15.75" customHeight="1">
      <c r="A417" s="59"/>
      <c r="B417" s="59"/>
      <c r="C417" s="59"/>
      <c r="D417" s="59"/>
      <c r="E417" s="59"/>
      <c r="F417" s="59"/>
      <c r="G417" s="59"/>
      <c r="H417" s="59"/>
      <c r="I417" s="59"/>
      <c r="J417" s="59"/>
      <c r="K417" s="59"/>
      <c r="L417" s="59"/>
      <c r="M417" s="59"/>
      <c r="N417" s="59"/>
      <c r="O417" s="7"/>
      <c r="P417" s="6"/>
      <c r="Q417" s="6"/>
      <c r="R417" s="6"/>
      <c r="S417" s="6"/>
      <c r="T417" s="6"/>
      <c r="U417" s="6"/>
      <c r="V417" s="6"/>
      <c r="W417" s="6"/>
      <c r="X417" s="6"/>
      <c r="Y417" s="6"/>
      <c r="Z417" s="6"/>
      <c r="AA417" s="6"/>
    </row>
    <row r="418" ht="15.75" customHeight="1">
      <c r="A418" s="59"/>
      <c r="B418" s="59"/>
      <c r="C418" s="59"/>
      <c r="D418" s="59"/>
      <c r="E418" s="59"/>
      <c r="F418" s="59"/>
      <c r="G418" s="59"/>
      <c r="H418" s="59"/>
      <c r="I418" s="59"/>
      <c r="J418" s="59"/>
      <c r="K418" s="59"/>
      <c r="L418" s="59"/>
      <c r="M418" s="59"/>
      <c r="N418" s="59"/>
      <c r="O418" s="7"/>
      <c r="P418" s="6"/>
      <c r="Q418" s="6"/>
      <c r="R418" s="6"/>
      <c r="S418" s="6"/>
      <c r="T418" s="6"/>
      <c r="U418" s="6"/>
      <c r="V418" s="6"/>
      <c r="W418" s="6"/>
      <c r="X418" s="6"/>
      <c r="Y418" s="6"/>
      <c r="Z418" s="6"/>
      <c r="AA418" s="6"/>
    </row>
    <row r="419" ht="15.75" customHeight="1">
      <c r="A419" s="59"/>
      <c r="B419" s="59"/>
      <c r="C419" s="59"/>
      <c r="D419" s="59"/>
      <c r="E419" s="59"/>
      <c r="F419" s="59"/>
      <c r="G419" s="59"/>
      <c r="H419" s="59"/>
      <c r="I419" s="59"/>
      <c r="J419" s="59"/>
      <c r="K419" s="59"/>
      <c r="L419" s="59"/>
      <c r="M419" s="59"/>
      <c r="N419" s="59"/>
      <c r="O419" s="7"/>
      <c r="P419" s="6"/>
      <c r="Q419" s="6"/>
      <c r="R419" s="6"/>
      <c r="S419" s="6"/>
      <c r="T419" s="6"/>
      <c r="U419" s="6"/>
      <c r="V419" s="6"/>
      <c r="W419" s="6"/>
      <c r="X419" s="6"/>
      <c r="Y419" s="6"/>
      <c r="Z419" s="6"/>
      <c r="AA419" s="6"/>
    </row>
    <row r="420" ht="15.75" customHeight="1">
      <c r="A420" s="59"/>
      <c r="B420" s="59"/>
      <c r="C420" s="59"/>
      <c r="D420" s="59"/>
      <c r="E420" s="59"/>
      <c r="F420" s="59"/>
      <c r="G420" s="59"/>
      <c r="H420" s="59"/>
      <c r="I420" s="59"/>
      <c r="J420" s="59"/>
      <c r="K420" s="59"/>
      <c r="L420" s="59"/>
      <c r="M420" s="59"/>
      <c r="N420" s="59"/>
      <c r="O420" s="7"/>
      <c r="P420" s="6"/>
      <c r="Q420" s="6"/>
      <c r="R420" s="6"/>
      <c r="S420" s="6"/>
      <c r="T420" s="6"/>
      <c r="U420" s="6"/>
      <c r="V420" s="6"/>
      <c r="W420" s="6"/>
      <c r="X420" s="6"/>
      <c r="Y420" s="6"/>
      <c r="Z420" s="6"/>
      <c r="AA420" s="6"/>
    </row>
    <row r="421" ht="15.75" customHeight="1">
      <c r="A421" s="59"/>
      <c r="B421" s="59"/>
      <c r="C421" s="59"/>
      <c r="D421" s="59"/>
      <c r="E421" s="59"/>
      <c r="F421" s="59"/>
      <c r="G421" s="59"/>
      <c r="H421" s="59"/>
      <c r="I421" s="59"/>
      <c r="J421" s="59"/>
      <c r="K421" s="59"/>
      <c r="L421" s="59"/>
      <c r="M421" s="59"/>
      <c r="N421" s="59"/>
      <c r="O421" s="7"/>
      <c r="P421" s="6"/>
      <c r="Q421" s="6"/>
      <c r="R421" s="6"/>
      <c r="S421" s="6"/>
      <c r="T421" s="6"/>
      <c r="U421" s="6"/>
      <c r="V421" s="6"/>
      <c r="W421" s="6"/>
      <c r="X421" s="6"/>
      <c r="Y421" s="6"/>
      <c r="Z421" s="6"/>
      <c r="AA421" s="6"/>
    </row>
    <row r="422" ht="15.75" customHeight="1">
      <c r="A422" s="59"/>
      <c r="B422" s="59"/>
      <c r="C422" s="59"/>
      <c r="D422" s="59"/>
      <c r="E422" s="59"/>
      <c r="F422" s="59"/>
      <c r="G422" s="59"/>
      <c r="H422" s="59"/>
      <c r="I422" s="59"/>
      <c r="J422" s="59"/>
      <c r="K422" s="59"/>
      <c r="L422" s="59"/>
      <c r="M422" s="59"/>
      <c r="N422" s="59"/>
      <c r="O422" s="7"/>
      <c r="P422" s="6"/>
      <c r="Q422" s="6"/>
      <c r="R422" s="6"/>
      <c r="S422" s="6"/>
      <c r="T422" s="6"/>
      <c r="U422" s="6"/>
      <c r="V422" s="6"/>
      <c r="W422" s="6"/>
      <c r="X422" s="6"/>
      <c r="Y422" s="6"/>
      <c r="Z422" s="6"/>
      <c r="AA422" s="6"/>
    </row>
    <row r="423" ht="15.75" customHeight="1">
      <c r="A423" s="59"/>
      <c r="B423" s="59"/>
      <c r="C423" s="59"/>
      <c r="D423" s="59"/>
      <c r="E423" s="59"/>
      <c r="F423" s="59"/>
      <c r="G423" s="59"/>
      <c r="H423" s="59"/>
      <c r="I423" s="59"/>
      <c r="J423" s="59"/>
      <c r="K423" s="59"/>
      <c r="L423" s="59"/>
      <c r="M423" s="59"/>
      <c r="N423" s="59"/>
      <c r="O423" s="7"/>
      <c r="P423" s="6"/>
      <c r="Q423" s="6"/>
      <c r="R423" s="6"/>
      <c r="S423" s="6"/>
      <c r="T423" s="6"/>
      <c r="U423" s="6"/>
      <c r="V423" s="6"/>
      <c r="W423" s="6"/>
      <c r="X423" s="6"/>
      <c r="Y423" s="6"/>
      <c r="Z423" s="6"/>
      <c r="AA423" s="6"/>
    </row>
    <row r="424" ht="15.75" customHeight="1">
      <c r="A424" s="59"/>
      <c r="B424" s="59"/>
      <c r="C424" s="59"/>
      <c r="D424" s="59"/>
      <c r="E424" s="59"/>
      <c r="F424" s="59"/>
      <c r="G424" s="59"/>
      <c r="H424" s="59"/>
      <c r="I424" s="59"/>
      <c r="J424" s="59"/>
      <c r="K424" s="59"/>
      <c r="L424" s="59"/>
      <c r="M424" s="59"/>
      <c r="N424" s="59"/>
      <c r="O424" s="7"/>
      <c r="P424" s="6"/>
      <c r="Q424" s="6"/>
      <c r="R424" s="6"/>
      <c r="S424" s="6"/>
      <c r="T424" s="6"/>
      <c r="U424" s="6"/>
      <c r="V424" s="6"/>
      <c r="W424" s="6"/>
      <c r="X424" s="6"/>
      <c r="Y424" s="6"/>
      <c r="Z424" s="6"/>
      <c r="AA424" s="6"/>
    </row>
    <row r="425" ht="15.75" customHeight="1">
      <c r="A425" s="59"/>
      <c r="B425" s="59"/>
      <c r="C425" s="59"/>
      <c r="D425" s="59"/>
      <c r="E425" s="59"/>
      <c r="F425" s="59"/>
      <c r="G425" s="59"/>
      <c r="H425" s="59"/>
      <c r="I425" s="59"/>
      <c r="J425" s="59"/>
      <c r="K425" s="59"/>
      <c r="L425" s="59"/>
      <c r="M425" s="59"/>
      <c r="N425" s="59"/>
      <c r="O425" s="7"/>
      <c r="P425" s="6"/>
      <c r="Q425" s="6"/>
      <c r="R425" s="6"/>
      <c r="S425" s="6"/>
      <c r="T425" s="6"/>
      <c r="U425" s="6"/>
      <c r="V425" s="6"/>
      <c r="W425" s="6"/>
      <c r="X425" s="6"/>
      <c r="Y425" s="6"/>
      <c r="Z425" s="6"/>
      <c r="AA425" s="6"/>
    </row>
    <row r="426" ht="15.75" customHeight="1">
      <c r="A426" s="59"/>
      <c r="B426" s="59"/>
      <c r="C426" s="59"/>
      <c r="D426" s="59"/>
      <c r="E426" s="59"/>
      <c r="F426" s="59"/>
      <c r="G426" s="59"/>
      <c r="H426" s="59"/>
      <c r="I426" s="59"/>
      <c r="J426" s="59"/>
      <c r="K426" s="59"/>
      <c r="L426" s="59"/>
      <c r="M426" s="59"/>
      <c r="N426" s="59"/>
      <c r="O426" s="7"/>
      <c r="P426" s="6"/>
      <c r="Q426" s="6"/>
      <c r="R426" s="6"/>
      <c r="S426" s="6"/>
      <c r="T426" s="6"/>
      <c r="U426" s="6"/>
      <c r="V426" s="6"/>
      <c r="W426" s="6"/>
      <c r="X426" s="6"/>
      <c r="Y426" s="6"/>
      <c r="Z426" s="6"/>
      <c r="AA426" s="6"/>
    </row>
    <row r="427" ht="15.75" customHeight="1">
      <c r="A427" s="59"/>
      <c r="B427" s="59"/>
      <c r="C427" s="59"/>
      <c r="D427" s="59"/>
      <c r="E427" s="59"/>
      <c r="F427" s="59"/>
      <c r="G427" s="59"/>
      <c r="H427" s="59"/>
      <c r="I427" s="59"/>
      <c r="J427" s="59"/>
      <c r="K427" s="59"/>
      <c r="L427" s="59"/>
      <c r="M427" s="59"/>
      <c r="N427" s="59"/>
      <c r="O427" s="7"/>
      <c r="P427" s="6"/>
      <c r="Q427" s="6"/>
      <c r="R427" s="6"/>
      <c r="S427" s="6"/>
      <c r="T427" s="6"/>
      <c r="U427" s="6"/>
      <c r="V427" s="6"/>
      <c r="W427" s="6"/>
      <c r="X427" s="6"/>
      <c r="Y427" s="6"/>
      <c r="Z427" s="6"/>
      <c r="AA427" s="6"/>
    </row>
    <row r="428" ht="15.75" customHeight="1">
      <c r="A428" s="59"/>
      <c r="B428" s="59"/>
      <c r="C428" s="59"/>
      <c r="D428" s="59"/>
      <c r="E428" s="59"/>
      <c r="F428" s="59"/>
      <c r="G428" s="59"/>
      <c r="H428" s="59"/>
      <c r="I428" s="59"/>
      <c r="J428" s="59"/>
      <c r="K428" s="59"/>
      <c r="L428" s="59"/>
      <c r="M428" s="59"/>
      <c r="N428" s="59"/>
      <c r="O428" s="7"/>
      <c r="P428" s="6"/>
      <c r="Q428" s="6"/>
      <c r="R428" s="6"/>
      <c r="S428" s="6"/>
      <c r="T428" s="6"/>
      <c r="U428" s="6"/>
      <c r="V428" s="6"/>
      <c r="W428" s="6"/>
      <c r="X428" s="6"/>
      <c r="Y428" s="6"/>
      <c r="Z428" s="6"/>
      <c r="AA428" s="6"/>
    </row>
    <row r="429" ht="15.75" customHeight="1">
      <c r="A429" s="59"/>
      <c r="B429" s="59"/>
      <c r="C429" s="59"/>
      <c r="D429" s="59"/>
      <c r="E429" s="59"/>
      <c r="F429" s="59"/>
      <c r="G429" s="59"/>
      <c r="H429" s="59"/>
      <c r="I429" s="59"/>
      <c r="J429" s="59"/>
      <c r="K429" s="59"/>
      <c r="L429" s="59"/>
      <c r="M429" s="59"/>
      <c r="N429" s="59"/>
      <c r="O429" s="7"/>
      <c r="P429" s="6"/>
      <c r="Q429" s="6"/>
      <c r="R429" s="6"/>
      <c r="S429" s="6"/>
      <c r="T429" s="6"/>
      <c r="U429" s="6"/>
      <c r="V429" s="6"/>
      <c r="W429" s="6"/>
      <c r="X429" s="6"/>
      <c r="Y429" s="6"/>
      <c r="Z429" s="6"/>
      <c r="AA429" s="6"/>
    </row>
    <row r="430" ht="15.75" customHeight="1">
      <c r="A430" s="59"/>
      <c r="B430" s="59"/>
      <c r="C430" s="59"/>
      <c r="D430" s="59"/>
      <c r="E430" s="59"/>
      <c r="F430" s="59"/>
      <c r="G430" s="59"/>
      <c r="H430" s="59"/>
      <c r="I430" s="59"/>
      <c r="J430" s="59"/>
      <c r="K430" s="59"/>
      <c r="L430" s="59"/>
      <c r="M430" s="59"/>
      <c r="N430" s="59"/>
      <c r="O430" s="7"/>
      <c r="P430" s="6"/>
      <c r="Q430" s="6"/>
      <c r="R430" s="6"/>
      <c r="S430" s="6"/>
      <c r="T430" s="6"/>
      <c r="U430" s="6"/>
      <c r="V430" s="6"/>
      <c r="W430" s="6"/>
      <c r="X430" s="6"/>
      <c r="Y430" s="6"/>
      <c r="Z430" s="6"/>
      <c r="AA430" s="6"/>
    </row>
    <row r="431" ht="15.75" customHeight="1">
      <c r="A431" s="59"/>
      <c r="B431" s="59"/>
      <c r="C431" s="59"/>
      <c r="D431" s="59"/>
      <c r="E431" s="59"/>
      <c r="F431" s="59"/>
      <c r="G431" s="59"/>
      <c r="H431" s="59"/>
      <c r="I431" s="59"/>
      <c r="J431" s="59"/>
      <c r="K431" s="59"/>
      <c r="L431" s="59"/>
      <c r="M431" s="59"/>
      <c r="N431" s="59"/>
      <c r="O431" s="7"/>
      <c r="P431" s="6"/>
      <c r="Q431" s="6"/>
      <c r="R431" s="6"/>
      <c r="S431" s="6"/>
      <c r="T431" s="6"/>
      <c r="U431" s="6"/>
      <c r="V431" s="6"/>
      <c r="W431" s="6"/>
      <c r="X431" s="6"/>
      <c r="Y431" s="6"/>
      <c r="Z431" s="6"/>
      <c r="AA431" s="6"/>
    </row>
    <row r="432" ht="15.75" customHeight="1">
      <c r="A432" s="59"/>
      <c r="B432" s="59"/>
      <c r="C432" s="59"/>
      <c r="D432" s="59"/>
      <c r="E432" s="59"/>
      <c r="F432" s="59"/>
      <c r="G432" s="59"/>
      <c r="H432" s="59"/>
      <c r="I432" s="59"/>
      <c r="J432" s="59"/>
      <c r="K432" s="59"/>
      <c r="L432" s="59"/>
      <c r="M432" s="59"/>
      <c r="N432" s="59"/>
      <c r="O432" s="7"/>
      <c r="P432" s="6"/>
      <c r="Q432" s="6"/>
      <c r="R432" s="6"/>
      <c r="S432" s="6"/>
      <c r="T432" s="6"/>
      <c r="U432" s="6"/>
      <c r="V432" s="6"/>
      <c r="W432" s="6"/>
      <c r="X432" s="6"/>
      <c r="Y432" s="6"/>
      <c r="Z432" s="6"/>
      <c r="AA432" s="6"/>
    </row>
    <row r="433" ht="15.75" customHeight="1">
      <c r="A433" s="59"/>
      <c r="B433" s="59"/>
      <c r="C433" s="59"/>
      <c r="D433" s="59"/>
      <c r="E433" s="59"/>
      <c r="F433" s="59"/>
      <c r="G433" s="59"/>
      <c r="H433" s="59"/>
      <c r="I433" s="59"/>
      <c r="J433" s="59"/>
      <c r="K433" s="59"/>
      <c r="L433" s="59"/>
      <c r="M433" s="59"/>
      <c r="N433" s="59"/>
      <c r="O433" s="7"/>
      <c r="P433" s="6"/>
      <c r="Q433" s="6"/>
      <c r="R433" s="6"/>
      <c r="S433" s="6"/>
      <c r="T433" s="6"/>
      <c r="U433" s="6"/>
      <c r="V433" s="6"/>
      <c r="W433" s="6"/>
      <c r="X433" s="6"/>
      <c r="Y433" s="6"/>
      <c r="Z433" s="6"/>
      <c r="AA433" s="6"/>
    </row>
    <row r="434" ht="15.75" customHeight="1">
      <c r="A434" s="59"/>
      <c r="B434" s="59"/>
      <c r="C434" s="59"/>
      <c r="D434" s="59"/>
      <c r="E434" s="59"/>
      <c r="F434" s="59"/>
      <c r="G434" s="59"/>
      <c r="H434" s="59"/>
      <c r="I434" s="59"/>
      <c r="J434" s="59"/>
      <c r="K434" s="59"/>
      <c r="L434" s="59"/>
      <c r="M434" s="59"/>
      <c r="N434" s="59"/>
      <c r="O434" s="7"/>
      <c r="P434" s="6"/>
      <c r="Q434" s="6"/>
      <c r="R434" s="6"/>
      <c r="S434" s="6"/>
      <c r="T434" s="6"/>
      <c r="U434" s="6"/>
      <c r="V434" s="6"/>
      <c r="W434" s="6"/>
      <c r="X434" s="6"/>
      <c r="Y434" s="6"/>
      <c r="Z434" s="6"/>
      <c r="AA434" s="6"/>
    </row>
    <row r="435" ht="15.75" customHeight="1">
      <c r="A435" s="59"/>
      <c r="B435" s="59"/>
      <c r="C435" s="59"/>
      <c r="D435" s="59"/>
      <c r="E435" s="59"/>
      <c r="F435" s="59"/>
      <c r="G435" s="59"/>
      <c r="H435" s="59"/>
      <c r="I435" s="59"/>
      <c r="J435" s="59"/>
      <c r="K435" s="59"/>
      <c r="L435" s="59"/>
      <c r="M435" s="59"/>
      <c r="N435" s="59"/>
      <c r="O435" s="7"/>
      <c r="P435" s="6"/>
      <c r="Q435" s="6"/>
      <c r="R435" s="6"/>
      <c r="S435" s="6"/>
      <c r="T435" s="6"/>
      <c r="U435" s="6"/>
      <c r="V435" s="6"/>
      <c r="W435" s="6"/>
      <c r="X435" s="6"/>
      <c r="Y435" s="6"/>
      <c r="Z435" s="6"/>
      <c r="AA435" s="6"/>
    </row>
    <row r="436" ht="15.75" customHeight="1">
      <c r="A436" s="59"/>
      <c r="B436" s="59"/>
      <c r="C436" s="59"/>
      <c r="D436" s="59"/>
      <c r="E436" s="59"/>
      <c r="F436" s="59"/>
      <c r="G436" s="59"/>
      <c r="H436" s="59"/>
      <c r="I436" s="59"/>
      <c r="J436" s="59"/>
      <c r="K436" s="59"/>
      <c r="L436" s="59"/>
      <c r="M436" s="59"/>
      <c r="N436" s="59"/>
      <c r="O436" s="7"/>
      <c r="P436" s="6"/>
      <c r="Q436" s="6"/>
      <c r="R436" s="6"/>
      <c r="S436" s="6"/>
      <c r="T436" s="6"/>
      <c r="U436" s="6"/>
      <c r="V436" s="6"/>
      <c r="W436" s="6"/>
      <c r="X436" s="6"/>
      <c r="Y436" s="6"/>
      <c r="Z436" s="6"/>
      <c r="AA436" s="6"/>
    </row>
    <row r="437" ht="15.75" customHeight="1">
      <c r="A437" s="59"/>
      <c r="B437" s="59"/>
      <c r="C437" s="59"/>
      <c r="D437" s="59"/>
      <c r="E437" s="59"/>
      <c r="F437" s="59"/>
      <c r="G437" s="59"/>
      <c r="H437" s="59"/>
      <c r="I437" s="59"/>
      <c r="J437" s="59"/>
      <c r="K437" s="59"/>
      <c r="L437" s="59"/>
      <c r="M437" s="59"/>
      <c r="N437" s="59"/>
      <c r="O437" s="7"/>
      <c r="P437" s="6"/>
      <c r="Q437" s="6"/>
      <c r="R437" s="6"/>
      <c r="S437" s="6"/>
      <c r="T437" s="6"/>
      <c r="U437" s="6"/>
      <c r="V437" s="6"/>
      <c r="W437" s="6"/>
      <c r="X437" s="6"/>
      <c r="Y437" s="6"/>
      <c r="Z437" s="6"/>
      <c r="AA437" s="6"/>
    </row>
    <row r="438" ht="15.75" customHeight="1">
      <c r="A438" s="59"/>
      <c r="B438" s="59"/>
      <c r="C438" s="59"/>
      <c r="D438" s="59"/>
      <c r="E438" s="59"/>
      <c r="F438" s="59"/>
      <c r="G438" s="59"/>
      <c r="H438" s="59"/>
      <c r="I438" s="59"/>
      <c r="J438" s="59"/>
      <c r="K438" s="59"/>
      <c r="L438" s="59"/>
      <c r="M438" s="59"/>
      <c r="N438" s="59"/>
      <c r="O438" s="7"/>
      <c r="P438" s="6"/>
      <c r="Q438" s="6"/>
      <c r="R438" s="6"/>
      <c r="S438" s="6"/>
      <c r="T438" s="6"/>
      <c r="U438" s="6"/>
      <c r="V438" s="6"/>
      <c r="W438" s="6"/>
      <c r="X438" s="6"/>
      <c r="Y438" s="6"/>
      <c r="Z438" s="6"/>
      <c r="AA438" s="6"/>
    </row>
    <row r="439" ht="15.75" customHeight="1">
      <c r="A439" s="59"/>
      <c r="B439" s="59"/>
      <c r="C439" s="59"/>
      <c r="D439" s="59"/>
      <c r="E439" s="59"/>
      <c r="F439" s="59"/>
      <c r="G439" s="59"/>
      <c r="H439" s="59"/>
      <c r="I439" s="59"/>
      <c r="J439" s="59"/>
      <c r="K439" s="59"/>
      <c r="L439" s="59"/>
      <c r="M439" s="59"/>
      <c r="N439" s="59"/>
      <c r="O439" s="7"/>
      <c r="P439" s="6"/>
      <c r="Q439" s="6"/>
      <c r="R439" s="6"/>
      <c r="S439" s="6"/>
      <c r="T439" s="6"/>
      <c r="U439" s="6"/>
      <c r="V439" s="6"/>
      <c r="W439" s="6"/>
      <c r="X439" s="6"/>
      <c r="Y439" s="6"/>
      <c r="Z439" s="6"/>
      <c r="AA439" s="6"/>
    </row>
    <row r="440" ht="15.75" customHeight="1">
      <c r="A440" s="59"/>
      <c r="B440" s="59"/>
      <c r="C440" s="59"/>
      <c r="D440" s="59"/>
      <c r="E440" s="59"/>
      <c r="F440" s="59"/>
      <c r="G440" s="59"/>
      <c r="H440" s="59"/>
      <c r="I440" s="59"/>
      <c r="J440" s="59"/>
      <c r="K440" s="59"/>
      <c r="L440" s="59"/>
      <c r="M440" s="59"/>
      <c r="N440" s="59"/>
      <c r="O440" s="7"/>
      <c r="P440" s="6"/>
      <c r="Q440" s="6"/>
      <c r="R440" s="6"/>
      <c r="S440" s="6"/>
      <c r="T440" s="6"/>
      <c r="U440" s="6"/>
      <c r="V440" s="6"/>
      <c r="W440" s="6"/>
      <c r="X440" s="6"/>
      <c r="Y440" s="6"/>
      <c r="Z440" s="6"/>
      <c r="AA440" s="6"/>
    </row>
    <row r="441" ht="15.75" customHeight="1">
      <c r="A441" s="59"/>
      <c r="B441" s="59"/>
      <c r="C441" s="59"/>
      <c r="D441" s="59"/>
      <c r="E441" s="59"/>
      <c r="F441" s="59"/>
      <c r="G441" s="59"/>
      <c r="H441" s="59"/>
      <c r="I441" s="59"/>
      <c r="J441" s="59"/>
      <c r="K441" s="59"/>
      <c r="L441" s="59"/>
      <c r="M441" s="59"/>
      <c r="N441" s="59"/>
      <c r="O441" s="7"/>
      <c r="P441" s="6"/>
      <c r="Q441" s="6"/>
      <c r="R441" s="6"/>
      <c r="S441" s="6"/>
      <c r="T441" s="6"/>
      <c r="U441" s="6"/>
      <c r="V441" s="6"/>
      <c r="W441" s="6"/>
      <c r="X441" s="6"/>
      <c r="Y441" s="6"/>
      <c r="Z441" s="6"/>
      <c r="AA441" s="6"/>
    </row>
    <row r="442" ht="15.75" customHeight="1">
      <c r="A442" s="59"/>
      <c r="B442" s="59"/>
      <c r="C442" s="59"/>
      <c r="D442" s="59"/>
      <c r="E442" s="59"/>
      <c r="F442" s="59"/>
      <c r="G442" s="59"/>
      <c r="H442" s="59"/>
      <c r="I442" s="59"/>
      <c r="J442" s="59"/>
      <c r="K442" s="59"/>
      <c r="L442" s="59"/>
      <c r="M442" s="59"/>
      <c r="N442" s="59"/>
      <c r="O442" s="7"/>
      <c r="P442" s="6"/>
      <c r="Q442" s="6"/>
      <c r="R442" s="6"/>
      <c r="S442" s="6"/>
      <c r="T442" s="6"/>
      <c r="U442" s="6"/>
      <c r="V442" s="6"/>
      <c r="W442" s="6"/>
      <c r="X442" s="6"/>
      <c r="Y442" s="6"/>
      <c r="Z442" s="6"/>
      <c r="AA442" s="6"/>
    </row>
    <row r="443" ht="15.75" customHeight="1">
      <c r="A443" s="59"/>
      <c r="B443" s="59"/>
      <c r="C443" s="59"/>
      <c r="D443" s="59"/>
      <c r="E443" s="59"/>
      <c r="F443" s="59"/>
      <c r="G443" s="59"/>
      <c r="H443" s="59"/>
      <c r="I443" s="59"/>
      <c r="J443" s="59"/>
      <c r="K443" s="59"/>
      <c r="L443" s="59"/>
      <c r="M443" s="59"/>
      <c r="N443" s="59"/>
      <c r="O443" s="7"/>
      <c r="P443" s="6"/>
      <c r="Q443" s="6"/>
      <c r="R443" s="6"/>
      <c r="S443" s="6"/>
      <c r="T443" s="6"/>
      <c r="U443" s="6"/>
      <c r="V443" s="6"/>
      <c r="W443" s="6"/>
      <c r="X443" s="6"/>
      <c r="Y443" s="6"/>
      <c r="Z443" s="6"/>
      <c r="AA443" s="6"/>
    </row>
    <row r="444" ht="15.75" customHeight="1">
      <c r="A444" s="59"/>
      <c r="B444" s="59"/>
      <c r="C444" s="59"/>
      <c r="D444" s="59"/>
      <c r="E444" s="59"/>
      <c r="F444" s="59"/>
      <c r="G444" s="59"/>
      <c r="H444" s="59"/>
      <c r="I444" s="59"/>
      <c r="J444" s="59"/>
      <c r="K444" s="59"/>
      <c r="L444" s="59"/>
      <c r="M444" s="59"/>
      <c r="N444" s="59"/>
      <c r="O444" s="7"/>
      <c r="P444" s="6"/>
      <c r="Q444" s="6"/>
      <c r="R444" s="6"/>
      <c r="S444" s="6"/>
      <c r="T444" s="6"/>
      <c r="U444" s="6"/>
      <c r="V444" s="6"/>
      <c r="W444" s="6"/>
      <c r="X444" s="6"/>
      <c r="Y444" s="6"/>
      <c r="Z444" s="6"/>
      <c r="AA444" s="6"/>
    </row>
    <row r="445" ht="15.75" customHeight="1">
      <c r="A445" s="59"/>
      <c r="B445" s="59"/>
      <c r="C445" s="59"/>
      <c r="D445" s="59"/>
      <c r="E445" s="59"/>
      <c r="F445" s="59"/>
      <c r="G445" s="59"/>
      <c r="H445" s="59"/>
      <c r="I445" s="59"/>
      <c r="J445" s="59"/>
      <c r="K445" s="59"/>
      <c r="L445" s="59"/>
      <c r="M445" s="59"/>
      <c r="N445" s="59"/>
      <c r="O445" s="7"/>
      <c r="P445" s="6"/>
      <c r="Q445" s="6"/>
      <c r="R445" s="6"/>
      <c r="S445" s="6"/>
      <c r="T445" s="6"/>
      <c r="U445" s="6"/>
      <c r="V445" s="6"/>
      <c r="W445" s="6"/>
      <c r="X445" s="6"/>
      <c r="Y445" s="6"/>
      <c r="Z445" s="6"/>
      <c r="AA445" s="6"/>
    </row>
    <row r="446" ht="15.75" customHeight="1">
      <c r="A446" s="59"/>
      <c r="B446" s="59"/>
      <c r="C446" s="59"/>
      <c r="D446" s="59"/>
      <c r="E446" s="59"/>
      <c r="F446" s="59"/>
      <c r="G446" s="59"/>
      <c r="H446" s="59"/>
      <c r="I446" s="59"/>
      <c r="J446" s="59"/>
      <c r="K446" s="59"/>
      <c r="L446" s="59"/>
      <c r="M446" s="59"/>
      <c r="N446" s="59"/>
      <c r="O446" s="7"/>
      <c r="P446" s="6"/>
      <c r="Q446" s="6"/>
      <c r="R446" s="6"/>
      <c r="S446" s="6"/>
      <c r="T446" s="6"/>
      <c r="U446" s="6"/>
      <c r="V446" s="6"/>
      <c r="W446" s="6"/>
      <c r="X446" s="6"/>
      <c r="Y446" s="6"/>
      <c r="Z446" s="6"/>
      <c r="AA446" s="6"/>
    </row>
    <row r="447" ht="15.75" customHeight="1">
      <c r="A447" s="59"/>
      <c r="B447" s="59"/>
      <c r="C447" s="59"/>
      <c r="D447" s="59"/>
      <c r="E447" s="59"/>
      <c r="F447" s="59"/>
      <c r="G447" s="59"/>
      <c r="H447" s="59"/>
      <c r="I447" s="59"/>
      <c r="J447" s="59"/>
      <c r="K447" s="59"/>
      <c r="L447" s="59"/>
      <c r="M447" s="59"/>
      <c r="N447" s="59"/>
      <c r="O447" s="7"/>
      <c r="P447" s="6"/>
      <c r="Q447" s="6"/>
      <c r="R447" s="6"/>
      <c r="S447" s="6"/>
      <c r="T447" s="6"/>
      <c r="U447" s="6"/>
      <c r="V447" s="6"/>
      <c r="W447" s="6"/>
      <c r="X447" s="6"/>
      <c r="Y447" s="6"/>
      <c r="Z447" s="6"/>
      <c r="AA447" s="6"/>
    </row>
    <row r="448" ht="15.75" customHeight="1">
      <c r="A448" s="59"/>
      <c r="B448" s="59"/>
      <c r="C448" s="59"/>
      <c r="D448" s="59"/>
      <c r="E448" s="59"/>
      <c r="F448" s="59"/>
      <c r="G448" s="59"/>
      <c r="H448" s="59"/>
      <c r="I448" s="59"/>
      <c r="J448" s="59"/>
      <c r="K448" s="59"/>
      <c r="L448" s="59"/>
      <c r="M448" s="59"/>
      <c r="N448" s="59"/>
      <c r="O448" s="7"/>
      <c r="P448" s="6"/>
      <c r="Q448" s="6"/>
      <c r="R448" s="6"/>
      <c r="S448" s="6"/>
      <c r="T448" s="6"/>
      <c r="U448" s="6"/>
      <c r="V448" s="6"/>
      <c r="W448" s="6"/>
      <c r="X448" s="6"/>
      <c r="Y448" s="6"/>
      <c r="Z448" s="6"/>
      <c r="AA448" s="6"/>
    </row>
    <row r="449" ht="15.75" customHeight="1">
      <c r="A449" s="59"/>
      <c r="B449" s="59"/>
      <c r="C449" s="59"/>
      <c r="D449" s="59"/>
      <c r="E449" s="59"/>
      <c r="F449" s="59"/>
      <c r="G449" s="59"/>
      <c r="H449" s="59"/>
      <c r="I449" s="59"/>
      <c r="J449" s="59"/>
      <c r="K449" s="59"/>
      <c r="L449" s="59"/>
      <c r="M449" s="59"/>
      <c r="N449" s="59"/>
      <c r="O449" s="7"/>
      <c r="P449" s="6"/>
      <c r="Q449" s="6"/>
      <c r="R449" s="6"/>
      <c r="S449" s="6"/>
      <c r="T449" s="6"/>
      <c r="U449" s="6"/>
      <c r="V449" s="6"/>
      <c r="W449" s="6"/>
      <c r="X449" s="6"/>
      <c r="Y449" s="6"/>
      <c r="Z449" s="6"/>
      <c r="AA449" s="6"/>
    </row>
    <row r="450" ht="15.75" customHeight="1">
      <c r="A450" s="59"/>
      <c r="B450" s="59"/>
      <c r="C450" s="59"/>
      <c r="D450" s="59"/>
      <c r="E450" s="59"/>
      <c r="F450" s="59"/>
      <c r="G450" s="59"/>
      <c r="H450" s="59"/>
      <c r="I450" s="59"/>
      <c r="J450" s="59"/>
      <c r="K450" s="59"/>
      <c r="L450" s="59"/>
      <c r="M450" s="59"/>
      <c r="N450" s="59"/>
      <c r="O450" s="7"/>
      <c r="P450" s="6"/>
      <c r="Q450" s="6"/>
      <c r="R450" s="6"/>
      <c r="S450" s="6"/>
      <c r="T450" s="6"/>
      <c r="U450" s="6"/>
      <c r="V450" s="6"/>
      <c r="W450" s="6"/>
      <c r="X450" s="6"/>
      <c r="Y450" s="6"/>
      <c r="Z450" s="6"/>
      <c r="AA450" s="6"/>
    </row>
    <row r="451" ht="15.75" customHeight="1">
      <c r="A451" s="59"/>
      <c r="B451" s="59"/>
      <c r="C451" s="59"/>
      <c r="D451" s="59"/>
      <c r="E451" s="59"/>
      <c r="F451" s="59"/>
      <c r="G451" s="59"/>
      <c r="H451" s="59"/>
      <c r="I451" s="59"/>
      <c r="J451" s="59"/>
      <c r="K451" s="59"/>
      <c r="L451" s="59"/>
      <c r="M451" s="59"/>
      <c r="N451" s="59"/>
      <c r="O451" s="7"/>
      <c r="P451" s="6"/>
      <c r="Q451" s="6"/>
      <c r="R451" s="6"/>
      <c r="S451" s="6"/>
      <c r="T451" s="6"/>
      <c r="U451" s="6"/>
      <c r="V451" s="6"/>
      <c r="W451" s="6"/>
      <c r="X451" s="6"/>
      <c r="Y451" s="6"/>
      <c r="Z451" s="6"/>
      <c r="AA451" s="6"/>
    </row>
    <row r="452" ht="15.75" customHeight="1">
      <c r="A452" s="59"/>
      <c r="B452" s="59"/>
      <c r="C452" s="59"/>
      <c r="D452" s="59"/>
      <c r="E452" s="59"/>
      <c r="F452" s="59"/>
      <c r="G452" s="59"/>
      <c r="H452" s="59"/>
      <c r="I452" s="59"/>
      <c r="J452" s="59"/>
      <c r="K452" s="59"/>
      <c r="L452" s="59"/>
      <c r="M452" s="59"/>
      <c r="N452" s="59"/>
      <c r="O452" s="7"/>
      <c r="P452" s="6"/>
      <c r="Q452" s="6"/>
      <c r="R452" s="6"/>
      <c r="S452" s="6"/>
      <c r="T452" s="6"/>
      <c r="U452" s="6"/>
      <c r="V452" s="6"/>
      <c r="W452" s="6"/>
      <c r="X452" s="6"/>
      <c r="Y452" s="6"/>
      <c r="Z452" s="6"/>
      <c r="AA452" s="6"/>
    </row>
    <row r="453" ht="15.75" customHeight="1">
      <c r="A453" s="59"/>
      <c r="B453" s="59"/>
      <c r="C453" s="59"/>
      <c r="D453" s="59"/>
      <c r="E453" s="59"/>
      <c r="F453" s="59"/>
      <c r="G453" s="59"/>
      <c r="H453" s="59"/>
      <c r="I453" s="59"/>
      <c r="J453" s="59"/>
      <c r="K453" s="59"/>
      <c r="L453" s="59"/>
      <c r="M453" s="59"/>
      <c r="N453" s="59"/>
      <c r="O453" s="7"/>
      <c r="P453" s="6"/>
      <c r="Q453" s="6"/>
      <c r="R453" s="6"/>
      <c r="S453" s="6"/>
      <c r="T453" s="6"/>
      <c r="U453" s="6"/>
      <c r="V453" s="6"/>
      <c r="W453" s="6"/>
      <c r="X453" s="6"/>
      <c r="Y453" s="6"/>
      <c r="Z453" s="6"/>
      <c r="AA453" s="6"/>
    </row>
    <row r="454" ht="15.75" customHeight="1">
      <c r="A454" s="59"/>
      <c r="B454" s="59"/>
      <c r="C454" s="59"/>
      <c r="D454" s="59"/>
      <c r="E454" s="59"/>
      <c r="F454" s="59"/>
      <c r="G454" s="59"/>
      <c r="H454" s="59"/>
      <c r="I454" s="59"/>
      <c r="J454" s="59"/>
      <c r="K454" s="59"/>
      <c r="L454" s="59"/>
      <c r="M454" s="59"/>
      <c r="N454" s="59"/>
      <c r="O454" s="7"/>
      <c r="P454" s="6"/>
      <c r="Q454" s="6"/>
      <c r="R454" s="6"/>
      <c r="S454" s="6"/>
      <c r="T454" s="6"/>
      <c r="U454" s="6"/>
      <c r="V454" s="6"/>
      <c r="W454" s="6"/>
      <c r="X454" s="6"/>
      <c r="Y454" s="6"/>
      <c r="Z454" s="6"/>
      <c r="AA454" s="6"/>
    </row>
    <row r="455" ht="15.75" customHeight="1">
      <c r="A455" s="59"/>
      <c r="B455" s="59"/>
      <c r="C455" s="59"/>
      <c r="D455" s="59"/>
      <c r="E455" s="59"/>
      <c r="F455" s="59"/>
      <c r="G455" s="59"/>
      <c r="H455" s="59"/>
      <c r="I455" s="59"/>
      <c r="J455" s="59"/>
      <c r="K455" s="59"/>
      <c r="L455" s="59"/>
      <c r="M455" s="59"/>
      <c r="N455" s="59"/>
      <c r="O455" s="7"/>
      <c r="P455" s="6"/>
      <c r="Q455" s="6"/>
      <c r="R455" s="6"/>
      <c r="S455" s="6"/>
      <c r="T455" s="6"/>
      <c r="U455" s="6"/>
      <c r="V455" s="6"/>
      <c r="W455" s="6"/>
      <c r="X455" s="6"/>
      <c r="Y455" s="6"/>
      <c r="Z455" s="6"/>
      <c r="AA455" s="6"/>
    </row>
    <row r="456" ht="15.75" customHeight="1">
      <c r="A456" s="59"/>
      <c r="B456" s="59"/>
      <c r="C456" s="59"/>
      <c r="D456" s="59"/>
      <c r="E456" s="59"/>
      <c r="F456" s="59"/>
      <c r="G456" s="59"/>
      <c r="H456" s="59"/>
      <c r="I456" s="59"/>
      <c r="J456" s="59"/>
      <c r="K456" s="59"/>
      <c r="L456" s="59"/>
      <c r="M456" s="59"/>
      <c r="N456" s="59"/>
      <c r="O456" s="7"/>
      <c r="P456" s="6"/>
      <c r="Q456" s="6"/>
      <c r="R456" s="6"/>
      <c r="S456" s="6"/>
      <c r="T456" s="6"/>
      <c r="U456" s="6"/>
      <c r="V456" s="6"/>
      <c r="W456" s="6"/>
      <c r="X456" s="6"/>
      <c r="Y456" s="6"/>
      <c r="Z456" s="6"/>
      <c r="AA456" s="6"/>
    </row>
    <row r="457" ht="15.75" customHeight="1">
      <c r="A457" s="59"/>
      <c r="B457" s="59"/>
      <c r="C457" s="59"/>
      <c r="D457" s="59"/>
      <c r="E457" s="59"/>
      <c r="F457" s="59"/>
      <c r="G457" s="59"/>
      <c r="H457" s="59"/>
      <c r="I457" s="59"/>
      <c r="J457" s="59"/>
      <c r="K457" s="59"/>
      <c r="L457" s="59"/>
      <c r="M457" s="59"/>
      <c r="N457" s="59"/>
      <c r="O457" s="7"/>
      <c r="P457" s="6"/>
      <c r="Q457" s="6"/>
      <c r="R457" s="6"/>
      <c r="S457" s="6"/>
      <c r="T457" s="6"/>
      <c r="U457" s="6"/>
      <c r="V457" s="6"/>
      <c r="W457" s="6"/>
      <c r="X457" s="6"/>
      <c r="Y457" s="6"/>
      <c r="Z457" s="6"/>
      <c r="AA457" s="6"/>
    </row>
    <row r="458" ht="15.75" customHeight="1">
      <c r="A458" s="59"/>
      <c r="B458" s="59"/>
      <c r="C458" s="59"/>
      <c r="D458" s="59"/>
      <c r="E458" s="59"/>
      <c r="F458" s="59"/>
      <c r="G458" s="59"/>
      <c r="H458" s="59"/>
      <c r="I458" s="59"/>
      <c r="J458" s="59"/>
      <c r="K458" s="59"/>
      <c r="L458" s="59"/>
      <c r="M458" s="59"/>
      <c r="N458" s="59"/>
      <c r="O458" s="7"/>
      <c r="P458" s="6"/>
      <c r="Q458" s="6"/>
      <c r="R458" s="6"/>
      <c r="S458" s="6"/>
      <c r="T458" s="6"/>
      <c r="U458" s="6"/>
      <c r="V458" s="6"/>
      <c r="W458" s="6"/>
      <c r="X458" s="6"/>
      <c r="Y458" s="6"/>
      <c r="Z458" s="6"/>
      <c r="AA458" s="6"/>
    </row>
    <row r="459" ht="15.75" customHeight="1">
      <c r="A459" s="59"/>
      <c r="B459" s="59"/>
      <c r="C459" s="59"/>
      <c r="D459" s="59"/>
      <c r="E459" s="59"/>
      <c r="F459" s="59"/>
      <c r="G459" s="59"/>
      <c r="H459" s="59"/>
      <c r="I459" s="59"/>
      <c r="J459" s="59"/>
      <c r="K459" s="59"/>
      <c r="L459" s="59"/>
      <c r="M459" s="59"/>
      <c r="N459" s="59"/>
      <c r="O459" s="7"/>
      <c r="P459" s="6"/>
      <c r="Q459" s="6"/>
      <c r="R459" s="6"/>
      <c r="S459" s="6"/>
      <c r="T459" s="6"/>
      <c r="U459" s="6"/>
      <c r="V459" s="6"/>
      <c r="W459" s="6"/>
      <c r="X459" s="6"/>
      <c r="Y459" s="6"/>
      <c r="Z459" s="6"/>
      <c r="AA459" s="6"/>
    </row>
    <row r="460" ht="15.75" customHeight="1">
      <c r="A460" s="59"/>
      <c r="B460" s="59"/>
      <c r="C460" s="59"/>
      <c r="D460" s="59"/>
      <c r="E460" s="59"/>
      <c r="F460" s="59"/>
      <c r="G460" s="59"/>
      <c r="H460" s="59"/>
      <c r="I460" s="59"/>
      <c r="J460" s="59"/>
      <c r="K460" s="59"/>
      <c r="L460" s="59"/>
      <c r="M460" s="59"/>
      <c r="N460" s="59"/>
      <c r="O460" s="7"/>
      <c r="P460" s="6"/>
      <c r="Q460" s="6"/>
      <c r="R460" s="6"/>
      <c r="S460" s="6"/>
      <c r="T460" s="6"/>
      <c r="U460" s="6"/>
      <c r="V460" s="6"/>
      <c r="W460" s="6"/>
      <c r="X460" s="6"/>
      <c r="Y460" s="6"/>
      <c r="Z460" s="6"/>
      <c r="AA460" s="6"/>
    </row>
    <row r="461" ht="15.75" customHeight="1">
      <c r="A461" s="59"/>
      <c r="B461" s="59"/>
      <c r="C461" s="59"/>
      <c r="D461" s="59"/>
      <c r="E461" s="59"/>
      <c r="F461" s="59"/>
      <c r="G461" s="59"/>
      <c r="H461" s="59"/>
      <c r="I461" s="59"/>
      <c r="J461" s="59"/>
      <c r="K461" s="59"/>
      <c r="L461" s="59"/>
      <c r="M461" s="59"/>
      <c r="N461" s="59"/>
      <c r="O461" s="7"/>
      <c r="P461" s="6"/>
      <c r="Q461" s="6"/>
      <c r="R461" s="6"/>
      <c r="S461" s="6"/>
      <c r="T461" s="6"/>
      <c r="U461" s="6"/>
      <c r="V461" s="6"/>
      <c r="W461" s="6"/>
      <c r="X461" s="6"/>
      <c r="Y461" s="6"/>
      <c r="Z461" s="6"/>
      <c r="AA461" s="6"/>
    </row>
    <row r="462" ht="15.75" customHeight="1">
      <c r="A462" s="59"/>
      <c r="B462" s="59"/>
      <c r="C462" s="59"/>
      <c r="D462" s="59"/>
      <c r="E462" s="59"/>
      <c r="F462" s="59"/>
      <c r="G462" s="59"/>
      <c r="H462" s="59"/>
      <c r="I462" s="59"/>
      <c r="J462" s="59"/>
      <c r="K462" s="59"/>
      <c r="L462" s="59"/>
      <c r="M462" s="59"/>
      <c r="N462" s="59"/>
      <c r="O462" s="7"/>
      <c r="P462" s="6"/>
      <c r="Q462" s="6"/>
      <c r="R462" s="6"/>
      <c r="S462" s="6"/>
      <c r="T462" s="6"/>
      <c r="U462" s="6"/>
      <c r="V462" s="6"/>
      <c r="W462" s="6"/>
      <c r="X462" s="6"/>
      <c r="Y462" s="6"/>
      <c r="Z462" s="6"/>
      <c r="AA462" s="6"/>
    </row>
    <row r="463" ht="15.75" customHeight="1">
      <c r="A463" s="59"/>
      <c r="B463" s="59"/>
      <c r="C463" s="59"/>
      <c r="D463" s="59"/>
      <c r="E463" s="59"/>
      <c r="F463" s="59"/>
      <c r="G463" s="59"/>
      <c r="H463" s="59"/>
      <c r="I463" s="59"/>
      <c r="J463" s="59"/>
      <c r="K463" s="59"/>
      <c r="L463" s="59"/>
      <c r="M463" s="59"/>
      <c r="N463" s="59"/>
      <c r="O463" s="7"/>
      <c r="P463" s="6"/>
      <c r="Q463" s="6"/>
      <c r="R463" s="6"/>
      <c r="S463" s="6"/>
      <c r="T463" s="6"/>
      <c r="U463" s="6"/>
      <c r="V463" s="6"/>
      <c r="W463" s="6"/>
      <c r="X463" s="6"/>
      <c r="Y463" s="6"/>
      <c r="Z463" s="6"/>
      <c r="AA463" s="6"/>
    </row>
    <row r="464" ht="15.75" customHeight="1">
      <c r="A464" s="59"/>
      <c r="B464" s="59"/>
      <c r="C464" s="59"/>
      <c r="D464" s="59"/>
      <c r="E464" s="59"/>
      <c r="F464" s="59"/>
      <c r="G464" s="59"/>
      <c r="H464" s="59"/>
      <c r="I464" s="59"/>
      <c r="J464" s="59"/>
      <c r="K464" s="59"/>
      <c r="L464" s="59"/>
      <c r="M464" s="59"/>
      <c r="N464" s="59"/>
      <c r="O464" s="7"/>
      <c r="P464" s="6"/>
      <c r="Q464" s="6"/>
      <c r="R464" s="6"/>
      <c r="S464" s="6"/>
      <c r="T464" s="6"/>
      <c r="U464" s="6"/>
      <c r="V464" s="6"/>
      <c r="W464" s="6"/>
      <c r="X464" s="6"/>
      <c r="Y464" s="6"/>
      <c r="Z464" s="6"/>
      <c r="AA464" s="6"/>
    </row>
    <row r="465" ht="15.75" customHeight="1">
      <c r="A465" s="59"/>
      <c r="B465" s="59"/>
      <c r="C465" s="59"/>
      <c r="D465" s="59"/>
      <c r="E465" s="59"/>
      <c r="F465" s="59"/>
      <c r="G465" s="59"/>
      <c r="H465" s="59"/>
      <c r="I465" s="59"/>
      <c r="J465" s="59"/>
      <c r="K465" s="59"/>
      <c r="L465" s="59"/>
      <c r="M465" s="59"/>
      <c r="N465" s="59"/>
      <c r="O465" s="7"/>
      <c r="P465" s="6"/>
      <c r="Q465" s="6"/>
      <c r="R465" s="6"/>
      <c r="S465" s="6"/>
      <c r="T465" s="6"/>
      <c r="U465" s="6"/>
      <c r="V465" s="6"/>
      <c r="W465" s="6"/>
      <c r="X465" s="6"/>
      <c r="Y465" s="6"/>
      <c r="Z465" s="6"/>
      <c r="AA465" s="6"/>
    </row>
    <row r="466" ht="15.75" customHeight="1">
      <c r="A466" s="59"/>
      <c r="B466" s="59"/>
      <c r="C466" s="59"/>
      <c r="D466" s="59"/>
      <c r="E466" s="59"/>
      <c r="F466" s="59"/>
      <c r="G466" s="59"/>
      <c r="H466" s="59"/>
      <c r="I466" s="59"/>
      <c r="J466" s="59"/>
      <c r="K466" s="59"/>
      <c r="L466" s="59"/>
      <c r="M466" s="59"/>
      <c r="N466" s="59"/>
      <c r="O466" s="7"/>
      <c r="P466" s="6"/>
      <c r="Q466" s="6"/>
      <c r="R466" s="6"/>
      <c r="S466" s="6"/>
      <c r="T466" s="6"/>
      <c r="U466" s="6"/>
      <c r="V466" s="6"/>
      <c r="W466" s="6"/>
      <c r="X466" s="6"/>
      <c r="Y466" s="6"/>
      <c r="Z466" s="6"/>
      <c r="AA466" s="6"/>
    </row>
    <row r="467" ht="15.75" customHeight="1">
      <c r="A467" s="59"/>
      <c r="B467" s="59"/>
      <c r="C467" s="59"/>
      <c r="D467" s="59"/>
      <c r="E467" s="59"/>
      <c r="F467" s="59"/>
      <c r="G467" s="59"/>
      <c r="H467" s="59"/>
      <c r="I467" s="59"/>
      <c r="J467" s="59"/>
      <c r="K467" s="59"/>
      <c r="L467" s="59"/>
      <c r="M467" s="59"/>
      <c r="N467" s="59"/>
      <c r="O467" s="7"/>
      <c r="P467" s="6"/>
      <c r="Q467" s="6"/>
      <c r="R467" s="6"/>
      <c r="S467" s="6"/>
      <c r="T467" s="6"/>
      <c r="U467" s="6"/>
      <c r="V467" s="6"/>
      <c r="W467" s="6"/>
      <c r="X467" s="6"/>
      <c r="Y467" s="6"/>
      <c r="Z467" s="6"/>
      <c r="AA467" s="6"/>
    </row>
    <row r="468" ht="15.75" customHeight="1">
      <c r="A468" s="59"/>
      <c r="B468" s="59"/>
      <c r="C468" s="59"/>
      <c r="D468" s="59"/>
      <c r="E468" s="59"/>
      <c r="F468" s="59"/>
      <c r="G468" s="59"/>
      <c r="H468" s="59"/>
      <c r="I468" s="59"/>
      <c r="J468" s="59"/>
      <c r="K468" s="59"/>
      <c r="L468" s="59"/>
      <c r="M468" s="59"/>
      <c r="N468" s="59"/>
      <c r="O468" s="7"/>
      <c r="P468" s="6"/>
      <c r="Q468" s="6"/>
      <c r="R468" s="6"/>
      <c r="S468" s="6"/>
      <c r="T468" s="6"/>
      <c r="U468" s="6"/>
      <c r="V468" s="6"/>
      <c r="W468" s="6"/>
      <c r="X468" s="6"/>
      <c r="Y468" s="6"/>
      <c r="Z468" s="6"/>
      <c r="AA468" s="6"/>
    </row>
    <row r="469" ht="15.75" customHeight="1">
      <c r="A469" s="59"/>
      <c r="B469" s="59"/>
      <c r="C469" s="59"/>
      <c r="D469" s="59"/>
      <c r="E469" s="59"/>
      <c r="F469" s="59"/>
      <c r="G469" s="59"/>
      <c r="H469" s="59"/>
      <c r="I469" s="59"/>
      <c r="J469" s="59"/>
      <c r="K469" s="59"/>
      <c r="L469" s="59"/>
      <c r="M469" s="59"/>
      <c r="N469" s="59"/>
      <c r="O469" s="7"/>
      <c r="P469" s="6"/>
      <c r="Q469" s="6"/>
      <c r="R469" s="6"/>
      <c r="S469" s="6"/>
      <c r="T469" s="6"/>
      <c r="U469" s="6"/>
      <c r="V469" s="6"/>
      <c r="W469" s="6"/>
      <c r="X469" s="6"/>
      <c r="Y469" s="6"/>
      <c r="Z469" s="6"/>
      <c r="AA469" s="6"/>
    </row>
    <row r="470" ht="15.75" customHeight="1">
      <c r="A470" s="59"/>
      <c r="B470" s="59"/>
      <c r="C470" s="59"/>
      <c r="D470" s="59"/>
      <c r="E470" s="59"/>
      <c r="F470" s="59"/>
      <c r="G470" s="59"/>
      <c r="H470" s="59"/>
      <c r="I470" s="59"/>
      <c r="J470" s="59"/>
      <c r="K470" s="59"/>
      <c r="L470" s="59"/>
      <c r="M470" s="59"/>
      <c r="N470" s="59"/>
      <c r="O470" s="7"/>
      <c r="P470" s="6"/>
      <c r="Q470" s="6"/>
      <c r="R470" s="6"/>
      <c r="S470" s="6"/>
      <c r="T470" s="6"/>
      <c r="U470" s="6"/>
      <c r="V470" s="6"/>
      <c r="W470" s="6"/>
      <c r="X470" s="6"/>
      <c r="Y470" s="6"/>
      <c r="Z470" s="6"/>
      <c r="AA470" s="6"/>
    </row>
    <row r="471" ht="15.75" customHeight="1">
      <c r="A471" s="59"/>
      <c r="B471" s="59"/>
      <c r="C471" s="59"/>
      <c r="D471" s="59"/>
      <c r="E471" s="59"/>
      <c r="F471" s="59"/>
      <c r="G471" s="59"/>
      <c r="H471" s="59"/>
      <c r="I471" s="59"/>
      <c r="J471" s="59"/>
      <c r="K471" s="59"/>
      <c r="L471" s="59"/>
      <c r="M471" s="59"/>
      <c r="N471" s="59"/>
      <c r="O471" s="7"/>
      <c r="P471" s="6"/>
      <c r="Q471" s="6"/>
      <c r="R471" s="6"/>
      <c r="S471" s="6"/>
      <c r="T471" s="6"/>
      <c r="U471" s="6"/>
      <c r="V471" s="6"/>
      <c r="W471" s="6"/>
      <c r="X471" s="6"/>
      <c r="Y471" s="6"/>
      <c r="Z471" s="6"/>
      <c r="AA471" s="6"/>
    </row>
    <row r="472" ht="15.75" customHeight="1">
      <c r="A472" s="59"/>
      <c r="B472" s="59"/>
      <c r="C472" s="59"/>
      <c r="D472" s="59"/>
      <c r="E472" s="59"/>
      <c r="F472" s="59"/>
      <c r="G472" s="59"/>
      <c r="H472" s="59"/>
      <c r="I472" s="59"/>
      <c r="J472" s="59"/>
      <c r="K472" s="59"/>
      <c r="L472" s="59"/>
      <c r="M472" s="59"/>
      <c r="N472" s="59"/>
      <c r="O472" s="7"/>
      <c r="P472" s="6"/>
      <c r="Q472" s="6"/>
      <c r="R472" s="6"/>
      <c r="S472" s="6"/>
      <c r="T472" s="6"/>
      <c r="U472" s="6"/>
      <c r="V472" s="6"/>
      <c r="W472" s="6"/>
      <c r="X472" s="6"/>
      <c r="Y472" s="6"/>
      <c r="Z472" s="6"/>
      <c r="AA472" s="6"/>
    </row>
    <row r="473" ht="15.75" customHeight="1">
      <c r="A473" s="59"/>
      <c r="B473" s="59"/>
      <c r="C473" s="59"/>
      <c r="D473" s="59"/>
      <c r="E473" s="59"/>
      <c r="F473" s="59"/>
      <c r="G473" s="59"/>
      <c r="H473" s="59"/>
      <c r="I473" s="59"/>
      <c r="J473" s="59"/>
      <c r="K473" s="59"/>
      <c r="L473" s="59"/>
      <c r="M473" s="59"/>
      <c r="N473" s="59"/>
      <c r="O473" s="7"/>
      <c r="P473" s="6"/>
      <c r="Q473" s="6"/>
      <c r="R473" s="6"/>
      <c r="S473" s="6"/>
      <c r="T473" s="6"/>
      <c r="U473" s="6"/>
      <c r="V473" s="6"/>
      <c r="W473" s="6"/>
      <c r="X473" s="6"/>
      <c r="Y473" s="6"/>
      <c r="Z473" s="6"/>
      <c r="AA473" s="6"/>
    </row>
    <row r="474" ht="15.75" customHeight="1">
      <c r="A474" s="59"/>
      <c r="B474" s="59"/>
      <c r="C474" s="59"/>
      <c r="D474" s="59"/>
      <c r="E474" s="59"/>
      <c r="F474" s="59"/>
      <c r="G474" s="59"/>
      <c r="H474" s="59"/>
      <c r="I474" s="59"/>
      <c r="J474" s="59"/>
      <c r="K474" s="59"/>
      <c r="L474" s="59"/>
      <c r="M474" s="59"/>
      <c r="N474" s="59"/>
      <c r="O474" s="7"/>
      <c r="P474" s="6"/>
      <c r="Q474" s="6"/>
      <c r="R474" s="6"/>
      <c r="S474" s="6"/>
      <c r="T474" s="6"/>
      <c r="U474" s="6"/>
      <c r="V474" s="6"/>
      <c r="W474" s="6"/>
      <c r="X474" s="6"/>
      <c r="Y474" s="6"/>
      <c r="Z474" s="6"/>
      <c r="AA474" s="6"/>
    </row>
    <row r="475" ht="15.75" customHeight="1">
      <c r="A475" s="59"/>
      <c r="B475" s="59"/>
      <c r="C475" s="59"/>
      <c r="D475" s="59"/>
      <c r="E475" s="59"/>
      <c r="F475" s="59"/>
      <c r="G475" s="59"/>
      <c r="H475" s="59"/>
      <c r="I475" s="59"/>
      <c r="J475" s="59"/>
      <c r="K475" s="59"/>
      <c r="L475" s="59"/>
      <c r="M475" s="59"/>
      <c r="N475" s="59"/>
      <c r="O475" s="7"/>
      <c r="P475" s="6"/>
      <c r="Q475" s="6"/>
      <c r="R475" s="6"/>
      <c r="S475" s="6"/>
      <c r="T475" s="6"/>
      <c r="U475" s="6"/>
      <c r="V475" s="6"/>
      <c r="W475" s="6"/>
      <c r="X475" s="6"/>
      <c r="Y475" s="6"/>
      <c r="Z475" s="6"/>
      <c r="AA475" s="6"/>
    </row>
    <row r="476" ht="15.75" customHeight="1">
      <c r="A476" s="59"/>
      <c r="B476" s="59"/>
      <c r="C476" s="59"/>
      <c r="D476" s="59"/>
      <c r="E476" s="59"/>
      <c r="F476" s="59"/>
      <c r="G476" s="59"/>
      <c r="H476" s="59"/>
      <c r="I476" s="59"/>
      <c r="J476" s="59"/>
      <c r="K476" s="59"/>
      <c r="L476" s="59"/>
      <c r="M476" s="59"/>
      <c r="N476" s="59"/>
      <c r="O476" s="7"/>
      <c r="P476" s="6"/>
      <c r="Q476" s="6"/>
      <c r="R476" s="6"/>
      <c r="S476" s="6"/>
      <c r="T476" s="6"/>
      <c r="U476" s="6"/>
      <c r="V476" s="6"/>
      <c r="W476" s="6"/>
      <c r="X476" s="6"/>
      <c r="Y476" s="6"/>
      <c r="Z476" s="6"/>
      <c r="AA476" s="6"/>
    </row>
    <row r="477" ht="15.75" customHeight="1">
      <c r="A477" s="59"/>
      <c r="B477" s="59"/>
      <c r="C477" s="59"/>
      <c r="D477" s="59"/>
      <c r="E477" s="59"/>
      <c r="F477" s="59"/>
      <c r="G477" s="59"/>
      <c r="H477" s="59"/>
      <c r="I477" s="59"/>
      <c r="J477" s="59"/>
      <c r="K477" s="59"/>
      <c r="L477" s="59"/>
      <c r="M477" s="59"/>
      <c r="N477" s="59"/>
      <c r="O477" s="7"/>
      <c r="P477" s="6"/>
      <c r="Q477" s="6"/>
      <c r="R477" s="6"/>
      <c r="S477" s="6"/>
      <c r="T477" s="6"/>
      <c r="U477" s="6"/>
      <c r="V477" s="6"/>
      <c r="W477" s="6"/>
      <c r="X477" s="6"/>
      <c r="Y477" s="6"/>
      <c r="Z477" s="6"/>
      <c r="AA477" s="6"/>
    </row>
    <row r="478" ht="15.75" customHeight="1">
      <c r="A478" s="59"/>
      <c r="B478" s="59"/>
      <c r="C478" s="59"/>
      <c r="D478" s="59"/>
      <c r="E478" s="59"/>
      <c r="F478" s="59"/>
      <c r="G478" s="59"/>
      <c r="H478" s="59"/>
      <c r="I478" s="59"/>
      <c r="J478" s="59"/>
      <c r="K478" s="59"/>
      <c r="L478" s="59"/>
      <c r="M478" s="59"/>
      <c r="N478" s="59"/>
      <c r="O478" s="7"/>
      <c r="P478" s="6"/>
      <c r="Q478" s="6"/>
      <c r="R478" s="6"/>
      <c r="S478" s="6"/>
      <c r="T478" s="6"/>
      <c r="U478" s="6"/>
      <c r="V478" s="6"/>
      <c r="W478" s="6"/>
      <c r="X478" s="6"/>
      <c r="Y478" s="6"/>
      <c r="Z478" s="6"/>
      <c r="AA478" s="6"/>
    </row>
    <row r="479" ht="15.75" customHeight="1">
      <c r="A479" s="59"/>
      <c r="B479" s="59"/>
      <c r="C479" s="59"/>
      <c r="D479" s="59"/>
      <c r="E479" s="59"/>
      <c r="F479" s="59"/>
      <c r="G479" s="59"/>
      <c r="H479" s="59"/>
      <c r="I479" s="59"/>
      <c r="J479" s="59"/>
      <c r="K479" s="59"/>
      <c r="L479" s="59"/>
      <c r="M479" s="59"/>
      <c r="N479" s="59"/>
      <c r="O479" s="7"/>
      <c r="P479" s="6"/>
      <c r="Q479" s="6"/>
      <c r="R479" s="6"/>
      <c r="S479" s="6"/>
      <c r="T479" s="6"/>
      <c r="U479" s="6"/>
      <c r="V479" s="6"/>
      <c r="W479" s="6"/>
      <c r="X479" s="6"/>
      <c r="Y479" s="6"/>
      <c r="Z479" s="6"/>
      <c r="AA479" s="6"/>
    </row>
    <row r="480" ht="15.75" customHeight="1">
      <c r="A480" s="59"/>
      <c r="B480" s="59"/>
      <c r="C480" s="59"/>
      <c r="D480" s="59"/>
      <c r="E480" s="59"/>
      <c r="F480" s="59"/>
      <c r="G480" s="59"/>
      <c r="H480" s="59"/>
      <c r="I480" s="59"/>
      <c r="J480" s="59"/>
      <c r="K480" s="59"/>
      <c r="L480" s="59"/>
      <c r="M480" s="59"/>
      <c r="N480" s="59"/>
      <c r="O480" s="7"/>
      <c r="P480" s="6"/>
      <c r="Q480" s="6"/>
      <c r="R480" s="6"/>
      <c r="S480" s="6"/>
      <c r="T480" s="6"/>
      <c r="U480" s="6"/>
      <c r="V480" s="6"/>
      <c r="W480" s="6"/>
      <c r="X480" s="6"/>
      <c r="Y480" s="6"/>
      <c r="Z480" s="6"/>
      <c r="AA480" s="6"/>
    </row>
    <row r="481" ht="15.75" customHeight="1">
      <c r="A481" s="59"/>
      <c r="B481" s="59"/>
      <c r="C481" s="59"/>
      <c r="D481" s="59"/>
      <c r="E481" s="59"/>
      <c r="F481" s="59"/>
      <c r="G481" s="59"/>
      <c r="H481" s="59"/>
      <c r="I481" s="59"/>
      <c r="J481" s="59"/>
      <c r="K481" s="59"/>
      <c r="L481" s="59"/>
      <c r="M481" s="59"/>
      <c r="N481" s="59"/>
      <c r="O481" s="7"/>
      <c r="P481" s="6"/>
      <c r="Q481" s="6"/>
      <c r="R481" s="6"/>
      <c r="S481" s="6"/>
      <c r="T481" s="6"/>
      <c r="U481" s="6"/>
      <c r="V481" s="6"/>
      <c r="W481" s="6"/>
      <c r="X481" s="6"/>
      <c r="Y481" s="6"/>
      <c r="Z481" s="6"/>
      <c r="AA481" s="6"/>
    </row>
    <row r="482" ht="15.75" customHeight="1">
      <c r="A482" s="59"/>
      <c r="B482" s="59"/>
      <c r="C482" s="59"/>
      <c r="D482" s="59"/>
      <c r="E482" s="59"/>
      <c r="F482" s="59"/>
      <c r="G482" s="59"/>
      <c r="H482" s="59"/>
      <c r="I482" s="59"/>
      <c r="J482" s="59"/>
      <c r="K482" s="59"/>
      <c r="L482" s="59"/>
      <c r="M482" s="59"/>
      <c r="N482" s="59"/>
      <c r="O482" s="7"/>
      <c r="P482" s="6"/>
      <c r="Q482" s="6"/>
      <c r="R482" s="6"/>
      <c r="S482" s="6"/>
      <c r="T482" s="6"/>
      <c r="U482" s="6"/>
      <c r="V482" s="6"/>
      <c r="W482" s="6"/>
      <c r="X482" s="6"/>
      <c r="Y482" s="6"/>
      <c r="Z482" s="6"/>
      <c r="AA482" s="6"/>
    </row>
    <row r="483" ht="15.75" customHeight="1">
      <c r="A483" s="59"/>
      <c r="B483" s="59"/>
      <c r="C483" s="59"/>
      <c r="D483" s="59"/>
      <c r="E483" s="59"/>
      <c r="F483" s="59"/>
      <c r="G483" s="59"/>
      <c r="H483" s="59"/>
      <c r="I483" s="59"/>
      <c r="J483" s="59"/>
      <c r="K483" s="59"/>
      <c r="L483" s="59"/>
      <c r="M483" s="59"/>
      <c r="N483" s="59"/>
      <c r="O483" s="7"/>
      <c r="P483" s="6"/>
      <c r="Q483" s="6"/>
      <c r="R483" s="6"/>
      <c r="S483" s="6"/>
      <c r="T483" s="6"/>
      <c r="U483" s="6"/>
      <c r="V483" s="6"/>
      <c r="W483" s="6"/>
      <c r="X483" s="6"/>
      <c r="Y483" s="6"/>
      <c r="Z483" s="6"/>
      <c r="AA483" s="6"/>
    </row>
    <row r="484" ht="15.75" customHeight="1">
      <c r="A484" s="59"/>
      <c r="B484" s="59"/>
      <c r="C484" s="59"/>
      <c r="D484" s="59"/>
      <c r="E484" s="59"/>
      <c r="F484" s="59"/>
      <c r="G484" s="59"/>
      <c r="H484" s="59"/>
      <c r="I484" s="59"/>
      <c r="J484" s="59"/>
      <c r="K484" s="59"/>
      <c r="L484" s="59"/>
      <c r="M484" s="59"/>
      <c r="N484" s="59"/>
      <c r="O484" s="7"/>
      <c r="P484" s="6"/>
      <c r="Q484" s="6"/>
      <c r="R484" s="6"/>
      <c r="S484" s="6"/>
      <c r="T484" s="6"/>
      <c r="U484" s="6"/>
      <c r="V484" s="6"/>
      <c r="W484" s="6"/>
      <c r="X484" s="6"/>
      <c r="Y484" s="6"/>
      <c r="Z484" s="6"/>
      <c r="AA484" s="6"/>
    </row>
    <row r="485" ht="15.75" customHeight="1">
      <c r="A485" s="59"/>
      <c r="B485" s="59"/>
      <c r="C485" s="59"/>
      <c r="D485" s="59"/>
      <c r="E485" s="59"/>
      <c r="F485" s="59"/>
      <c r="G485" s="59"/>
      <c r="H485" s="59"/>
      <c r="I485" s="59"/>
      <c r="J485" s="59"/>
      <c r="K485" s="59"/>
      <c r="L485" s="59"/>
      <c r="M485" s="59"/>
      <c r="N485" s="59"/>
      <c r="O485" s="7"/>
      <c r="P485" s="6"/>
      <c r="Q485" s="6"/>
      <c r="R485" s="6"/>
      <c r="S485" s="6"/>
      <c r="T485" s="6"/>
      <c r="U485" s="6"/>
      <c r="V485" s="6"/>
      <c r="W485" s="6"/>
      <c r="X485" s="6"/>
      <c r="Y485" s="6"/>
      <c r="Z485" s="6"/>
      <c r="AA485" s="6"/>
    </row>
    <row r="486" ht="15.75" customHeight="1">
      <c r="A486" s="59"/>
      <c r="B486" s="59"/>
      <c r="C486" s="59"/>
      <c r="D486" s="59"/>
      <c r="E486" s="59"/>
      <c r="F486" s="59"/>
      <c r="G486" s="59"/>
      <c r="H486" s="59"/>
      <c r="I486" s="59"/>
      <c r="J486" s="59"/>
      <c r="K486" s="59"/>
      <c r="L486" s="59"/>
      <c r="M486" s="59"/>
      <c r="N486" s="59"/>
      <c r="O486" s="7"/>
      <c r="P486" s="6"/>
      <c r="Q486" s="6"/>
      <c r="R486" s="6"/>
      <c r="S486" s="6"/>
      <c r="T486" s="6"/>
      <c r="U486" s="6"/>
      <c r="V486" s="6"/>
      <c r="W486" s="6"/>
      <c r="X486" s="6"/>
      <c r="Y486" s="6"/>
      <c r="Z486" s="6"/>
      <c r="AA486" s="6"/>
    </row>
    <row r="487" ht="15.75" customHeight="1">
      <c r="A487" s="59"/>
      <c r="B487" s="59"/>
      <c r="C487" s="59"/>
      <c r="D487" s="59"/>
      <c r="E487" s="59"/>
      <c r="F487" s="59"/>
      <c r="G487" s="59"/>
      <c r="H487" s="59"/>
      <c r="I487" s="59"/>
      <c r="J487" s="59"/>
      <c r="K487" s="59"/>
      <c r="L487" s="59"/>
      <c r="M487" s="59"/>
      <c r="N487" s="59"/>
      <c r="O487" s="7"/>
      <c r="P487" s="6"/>
      <c r="Q487" s="6"/>
      <c r="R487" s="6"/>
      <c r="S487" s="6"/>
      <c r="T487" s="6"/>
      <c r="U487" s="6"/>
      <c r="V487" s="6"/>
      <c r="W487" s="6"/>
      <c r="X487" s="6"/>
      <c r="Y487" s="6"/>
      <c r="Z487" s="6"/>
      <c r="AA487" s="6"/>
    </row>
    <row r="488" ht="15.75" customHeight="1">
      <c r="A488" s="59"/>
      <c r="B488" s="59"/>
      <c r="C488" s="59"/>
      <c r="D488" s="59"/>
      <c r="E488" s="59"/>
      <c r="F488" s="59"/>
      <c r="G488" s="59"/>
      <c r="H488" s="59"/>
      <c r="I488" s="59"/>
      <c r="J488" s="59"/>
      <c r="K488" s="59"/>
      <c r="L488" s="59"/>
      <c r="M488" s="59"/>
      <c r="N488" s="59"/>
      <c r="O488" s="7"/>
      <c r="P488" s="6"/>
      <c r="Q488" s="6"/>
      <c r="R488" s="6"/>
      <c r="S488" s="6"/>
      <c r="T488" s="6"/>
      <c r="U488" s="6"/>
      <c r="V488" s="6"/>
      <c r="W488" s="6"/>
      <c r="X488" s="6"/>
      <c r="Y488" s="6"/>
      <c r="Z488" s="6"/>
      <c r="AA488" s="6"/>
    </row>
    <row r="489" ht="15.75" customHeight="1">
      <c r="A489" s="59"/>
      <c r="B489" s="59"/>
      <c r="C489" s="59"/>
      <c r="D489" s="59"/>
      <c r="E489" s="59"/>
      <c r="F489" s="59"/>
      <c r="G489" s="59"/>
      <c r="H489" s="59"/>
      <c r="I489" s="59"/>
      <c r="J489" s="59"/>
      <c r="K489" s="59"/>
      <c r="L489" s="59"/>
      <c r="M489" s="59"/>
      <c r="N489" s="59"/>
      <c r="O489" s="7"/>
      <c r="P489" s="6"/>
      <c r="Q489" s="6"/>
      <c r="R489" s="6"/>
      <c r="S489" s="6"/>
      <c r="T489" s="6"/>
      <c r="U489" s="6"/>
      <c r="V489" s="6"/>
      <c r="W489" s="6"/>
      <c r="X489" s="6"/>
      <c r="Y489" s="6"/>
      <c r="Z489" s="6"/>
      <c r="AA489" s="6"/>
    </row>
    <row r="490" ht="15.75" customHeight="1">
      <c r="A490" s="59"/>
      <c r="B490" s="59"/>
      <c r="C490" s="59"/>
      <c r="D490" s="59"/>
      <c r="E490" s="59"/>
      <c r="F490" s="59"/>
      <c r="G490" s="59"/>
      <c r="H490" s="59"/>
      <c r="I490" s="59"/>
      <c r="J490" s="59"/>
      <c r="K490" s="59"/>
      <c r="L490" s="59"/>
      <c r="M490" s="59"/>
      <c r="N490" s="59"/>
      <c r="O490" s="7"/>
      <c r="P490" s="6"/>
      <c r="Q490" s="6"/>
      <c r="R490" s="6"/>
      <c r="S490" s="6"/>
      <c r="T490" s="6"/>
      <c r="U490" s="6"/>
      <c r="V490" s="6"/>
      <c r="W490" s="6"/>
      <c r="X490" s="6"/>
      <c r="Y490" s="6"/>
      <c r="Z490" s="6"/>
      <c r="AA490" s="6"/>
    </row>
    <row r="491" ht="15.75" customHeight="1">
      <c r="A491" s="59"/>
      <c r="B491" s="59"/>
      <c r="C491" s="59"/>
      <c r="D491" s="59"/>
      <c r="E491" s="59"/>
      <c r="F491" s="59"/>
      <c r="G491" s="59"/>
      <c r="H491" s="59"/>
      <c r="I491" s="59"/>
      <c r="J491" s="59"/>
      <c r="K491" s="59"/>
      <c r="L491" s="59"/>
      <c r="M491" s="59"/>
      <c r="N491" s="59"/>
      <c r="O491" s="7"/>
      <c r="P491" s="6"/>
      <c r="Q491" s="6"/>
      <c r="R491" s="6"/>
      <c r="S491" s="6"/>
      <c r="T491" s="6"/>
      <c r="U491" s="6"/>
      <c r="V491" s="6"/>
      <c r="W491" s="6"/>
      <c r="X491" s="6"/>
      <c r="Y491" s="6"/>
      <c r="Z491" s="6"/>
      <c r="AA491" s="6"/>
    </row>
    <row r="492" ht="15.75" customHeight="1">
      <c r="A492" s="59"/>
      <c r="B492" s="59"/>
      <c r="C492" s="59"/>
      <c r="D492" s="59"/>
      <c r="E492" s="59"/>
      <c r="F492" s="59"/>
      <c r="G492" s="59"/>
      <c r="H492" s="59"/>
      <c r="I492" s="59"/>
      <c r="J492" s="59"/>
      <c r="K492" s="59"/>
      <c r="L492" s="59"/>
      <c r="M492" s="59"/>
      <c r="N492" s="59"/>
      <c r="O492" s="7"/>
      <c r="P492" s="6"/>
      <c r="Q492" s="6"/>
      <c r="R492" s="6"/>
      <c r="S492" s="6"/>
      <c r="T492" s="6"/>
      <c r="U492" s="6"/>
      <c r="V492" s="6"/>
      <c r="W492" s="6"/>
      <c r="X492" s="6"/>
      <c r="Y492" s="6"/>
      <c r="Z492" s="6"/>
      <c r="AA492" s="6"/>
    </row>
    <row r="493" ht="15.75" customHeight="1">
      <c r="A493" s="59"/>
      <c r="B493" s="59"/>
      <c r="C493" s="59"/>
      <c r="D493" s="59"/>
      <c r="E493" s="59"/>
      <c r="F493" s="59"/>
      <c r="G493" s="59"/>
      <c r="H493" s="59"/>
      <c r="I493" s="59"/>
      <c r="J493" s="59"/>
      <c r="K493" s="59"/>
      <c r="L493" s="59"/>
      <c r="M493" s="59"/>
      <c r="N493" s="59"/>
      <c r="O493" s="7"/>
      <c r="P493" s="6"/>
      <c r="Q493" s="6"/>
      <c r="R493" s="6"/>
      <c r="S493" s="6"/>
      <c r="T493" s="6"/>
      <c r="U493" s="6"/>
      <c r="V493" s="6"/>
      <c r="W493" s="6"/>
      <c r="X493" s="6"/>
      <c r="Y493" s="6"/>
      <c r="Z493" s="6"/>
      <c r="AA493" s="6"/>
    </row>
    <row r="494" ht="15.75" customHeight="1">
      <c r="A494" s="59"/>
      <c r="B494" s="59"/>
      <c r="C494" s="59"/>
      <c r="D494" s="59"/>
      <c r="E494" s="59"/>
      <c r="F494" s="59"/>
      <c r="G494" s="59"/>
      <c r="H494" s="59"/>
      <c r="I494" s="59"/>
      <c r="J494" s="59"/>
      <c r="K494" s="59"/>
      <c r="L494" s="59"/>
      <c r="M494" s="59"/>
      <c r="N494" s="59"/>
      <c r="O494" s="7"/>
      <c r="P494" s="6"/>
      <c r="Q494" s="6"/>
      <c r="R494" s="6"/>
      <c r="S494" s="6"/>
      <c r="T494" s="6"/>
      <c r="U494" s="6"/>
      <c r="V494" s="6"/>
      <c r="W494" s="6"/>
      <c r="X494" s="6"/>
      <c r="Y494" s="6"/>
      <c r="Z494" s="6"/>
      <c r="AA494" s="6"/>
    </row>
    <row r="495" ht="15.75" customHeight="1">
      <c r="A495" s="59"/>
      <c r="B495" s="59"/>
      <c r="C495" s="59"/>
      <c r="D495" s="59"/>
      <c r="E495" s="59"/>
      <c r="F495" s="59"/>
      <c r="G495" s="59"/>
      <c r="H495" s="59"/>
      <c r="I495" s="59"/>
      <c r="J495" s="59"/>
      <c r="K495" s="59"/>
      <c r="L495" s="59"/>
      <c r="M495" s="59"/>
      <c r="N495" s="59"/>
      <c r="O495" s="7"/>
      <c r="P495" s="6"/>
      <c r="Q495" s="6"/>
      <c r="R495" s="6"/>
      <c r="S495" s="6"/>
      <c r="T495" s="6"/>
      <c r="U495" s="6"/>
      <c r="V495" s="6"/>
      <c r="W495" s="6"/>
      <c r="X495" s="6"/>
      <c r="Y495" s="6"/>
      <c r="Z495" s="6"/>
      <c r="AA495" s="6"/>
    </row>
    <row r="496" ht="15.75" customHeight="1">
      <c r="A496" s="59"/>
      <c r="B496" s="59"/>
      <c r="C496" s="59"/>
      <c r="D496" s="59"/>
      <c r="E496" s="59"/>
      <c r="F496" s="59"/>
      <c r="G496" s="59"/>
      <c r="H496" s="59"/>
      <c r="I496" s="59"/>
      <c r="J496" s="59"/>
      <c r="K496" s="59"/>
      <c r="L496" s="59"/>
      <c r="M496" s="59"/>
      <c r="N496" s="59"/>
      <c r="O496" s="7"/>
      <c r="P496" s="6"/>
      <c r="Q496" s="6"/>
      <c r="R496" s="6"/>
      <c r="S496" s="6"/>
      <c r="T496" s="6"/>
      <c r="U496" s="6"/>
      <c r="V496" s="6"/>
      <c r="W496" s="6"/>
      <c r="X496" s="6"/>
      <c r="Y496" s="6"/>
      <c r="Z496" s="6"/>
      <c r="AA496" s="6"/>
    </row>
    <row r="497" ht="15.75" customHeight="1">
      <c r="A497" s="59"/>
      <c r="B497" s="59"/>
      <c r="C497" s="59"/>
      <c r="D497" s="59"/>
      <c r="E497" s="59"/>
      <c r="F497" s="59"/>
      <c r="G497" s="59"/>
      <c r="H497" s="59"/>
      <c r="I497" s="59"/>
      <c r="J497" s="59"/>
      <c r="K497" s="59"/>
      <c r="L497" s="59"/>
      <c r="M497" s="59"/>
      <c r="N497" s="59"/>
      <c r="O497" s="7"/>
      <c r="P497" s="6"/>
      <c r="Q497" s="6"/>
      <c r="R497" s="6"/>
      <c r="S497" s="6"/>
      <c r="T497" s="6"/>
      <c r="U497" s="6"/>
      <c r="V497" s="6"/>
      <c r="W497" s="6"/>
      <c r="X497" s="6"/>
      <c r="Y497" s="6"/>
      <c r="Z497" s="6"/>
      <c r="AA497" s="6"/>
    </row>
    <row r="498" ht="15.75" customHeight="1">
      <c r="A498" s="59"/>
      <c r="B498" s="59"/>
      <c r="C498" s="59"/>
      <c r="D498" s="59"/>
      <c r="E498" s="59"/>
      <c r="F498" s="59"/>
      <c r="G498" s="59"/>
      <c r="H498" s="59"/>
      <c r="I498" s="59"/>
      <c r="J498" s="59"/>
      <c r="K498" s="59"/>
      <c r="L498" s="59"/>
      <c r="M498" s="59"/>
      <c r="N498" s="59"/>
      <c r="O498" s="7"/>
      <c r="P498" s="6"/>
      <c r="Q498" s="6"/>
      <c r="R498" s="6"/>
      <c r="S498" s="6"/>
      <c r="T498" s="6"/>
      <c r="U498" s="6"/>
      <c r="V498" s="6"/>
      <c r="W498" s="6"/>
      <c r="X498" s="6"/>
      <c r="Y498" s="6"/>
      <c r="Z498" s="6"/>
      <c r="AA498" s="6"/>
    </row>
    <row r="499" ht="15.75" customHeight="1">
      <c r="A499" s="59"/>
      <c r="B499" s="59"/>
      <c r="C499" s="59"/>
      <c r="D499" s="59"/>
      <c r="E499" s="59"/>
      <c r="F499" s="59"/>
      <c r="G499" s="59"/>
      <c r="H499" s="59"/>
      <c r="I499" s="59"/>
      <c r="J499" s="59"/>
      <c r="K499" s="59"/>
      <c r="L499" s="59"/>
      <c r="M499" s="59"/>
      <c r="N499" s="59"/>
      <c r="O499" s="7"/>
      <c r="P499" s="6"/>
      <c r="Q499" s="6"/>
      <c r="R499" s="6"/>
      <c r="S499" s="6"/>
      <c r="T499" s="6"/>
      <c r="U499" s="6"/>
      <c r="V499" s="6"/>
      <c r="W499" s="6"/>
      <c r="X499" s="6"/>
      <c r="Y499" s="6"/>
      <c r="Z499" s="6"/>
      <c r="AA499" s="6"/>
    </row>
    <row r="500" ht="15.75" customHeight="1">
      <c r="A500" s="59"/>
      <c r="B500" s="59"/>
      <c r="C500" s="59"/>
      <c r="D500" s="59"/>
      <c r="E500" s="59"/>
      <c r="F500" s="59"/>
      <c r="G500" s="59"/>
      <c r="H500" s="59"/>
      <c r="I500" s="59"/>
      <c r="J500" s="59"/>
      <c r="K500" s="59"/>
      <c r="L500" s="59"/>
      <c r="M500" s="59"/>
      <c r="N500" s="59"/>
      <c r="O500" s="7"/>
      <c r="P500" s="6"/>
      <c r="Q500" s="6"/>
      <c r="R500" s="6"/>
      <c r="S500" s="6"/>
      <c r="T500" s="6"/>
      <c r="U500" s="6"/>
      <c r="V500" s="6"/>
      <c r="W500" s="6"/>
      <c r="X500" s="6"/>
      <c r="Y500" s="6"/>
      <c r="Z500" s="6"/>
      <c r="AA500" s="6"/>
    </row>
    <row r="501" ht="15.75" customHeight="1">
      <c r="A501" s="59"/>
      <c r="B501" s="59"/>
      <c r="C501" s="59"/>
      <c r="D501" s="59"/>
      <c r="E501" s="59"/>
      <c r="F501" s="59"/>
      <c r="G501" s="59"/>
      <c r="H501" s="59"/>
      <c r="I501" s="59"/>
      <c r="J501" s="59"/>
      <c r="K501" s="59"/>
      <c r="L501" s="59"/>
      <c r="M501" s="59"/>
      <c r="N501" s="59"/>
      <c r="O501" s="7"/>
      <c r="P501" s="6"/>
      <c r="Q501" s="6"/>
      <c r="R501" s="6"/>
      <c r="S501" s="6"/>
      <c r="T501" s="6"/>
      <c r="U501" s="6"/>
      <c r="V501" s="6"/>
      <c r="W501" s="6"/>
      <c r="X501" s="6"/>
      <c r="Y501" s="6"/>
      <c r="Z501" s="6"/>
      <c r="AA501" s="6"/>
    </row>
    <row r="502" ht="15.75" customHeight="1">
      <c r="A502" s="59"/>
      <c r="B502" s="59"/>
      <c r="C502" s="59"/>
      <c r="D502" s="59"/>
      <c r="E502" s="59"/>
      <c r="F502" s="59"/>
      <c r="G502" s="59"/>
      <c r="H502" s="59"/>
      <c r="I502" s="59"/>
      <c r="J502" s="59"/>
      <c r="K502" s="59"/>
      <c r="L502" s="59"/>
      <c r="M502" s="59"/>
      <c r="N502" s="59"/>
      <c r="O502" s="7"/>
      <c r="P502" s="6"/>
      <c r="Q502" s="6"/>
      <c r="R502" s="6"/>
      <c r="S502" s="6"/>
      <c r="T502" s="6"/>
      <c r="U502" s="6"/>
      <c r="V502" s="6"/>
      <c r="W502" s="6"/>
      <c r="X502" s="6"/>
      <c r="Y502" s="6"/>
      <c r="Z502" s="6"/>
      <c r="AA502" s="6"/>
    </row>
    <row r="503" ht="15.75" customHeight="1">
      <c r="A503" s="59"/>
      <c r="B503" s="59"/>
      <c r="C503" s="59"/>
      <c r="D503" s="59"/>
      <c r="E503" s="59"/>
      <c r="F503" s="59"/>
      <c r="G503" s="59"/>
      <c r="H503" s="59"/>
      <c r="I503" s="59"/>
      <c r="J503" s="59"/>
      <c r="K503" s="59"/>
      <c r="L503" s="59"/>
      <c r="M503" s="59"/>
      <c r="N503" s="59"/>
      <c r="O503" s="7"/>
      <c r="P503" s="6"/>
      <c r="Q503" s="6"/>
      <c r="R503" s="6"/>
      <c r="S503" s="6"/>
      <c r="T503" s="6"/>
      <c r="U503" s="6"/>
      <c r="V503" s="6"/>
      <c r="W503" s="6"/>
      <c r="X503" s="6"/>
      <c r="Y503" s="6"/>
      <c r="Z503" s="6"/>
      <c r="AA503" s="6"/>
    </row>
    <row r="504" ht="15.75" customHeight="1">
      <c r="A504" s="59"/>
      <c r="B504" s="59"/>
      <c r="C504" s="59"/>
      <c r="D504" s="59"/>
      <c r="E504" s="59"/>
      <c r="F504" s="59"/>
      <c r="G504" s="59"/>
      <c r="H504" s="59"/>
      <c r="I504" s="59"/>
      <c r="J504" s="59"/>
      <c r="K504" s="59"/>
      <c r="L504" s="59"/>
      <c r="M504" s="59"/>
      <c r="N504" s="59"/>
      <c r="O504" s="7"/>
      <c r="P504" s="6"/>
      <c r="Q504" s="6"/>
      <c r="R504" s="6"/>
      <c r="S504" s="6"/>
      <c r="T504" s="6"/>
      <c r="U504" s="6"/>
      <c r="V504" s="6"/>
      <c r="W504" s="6"/>
      <c r="X504" s="6"/>
      <c r="Y504" s="6"/>
      <c r="Z504" s="6"/>
      <c r="AA504" s="6"/>
    </row>
    <row r="505" ht="15.75" customHeight="1">
      <c r="A505" s="59"/>
      <c r="B505" s="59"/>
      <c r="C505" s="59"/>
      <c r="D505" s="59"/>
      <c r="E505" s="59"/>
      <c r="F505" s="59"/>
      <c r="G505" s="59"/>
      <c r="H505" s="59"/>
      <c r="I505" s="59"/>
      <c r="J505" s="59"/>
      <c r="K505" s="59"/>
      <c r="L505" s="59"/>
      <c r="M505" s="59"/>
      <c r="N505" s="59"/>
      <c r="O505" s="7"/>
      <c r="P505" s="6"/>
      <c r="Q505" s="6"/>
      <c r="R505" s="6"/>
      <c r="S505" s="6"/>
      <c r="T505" s="6"/>
      <c r="U505" s="6"/>
      <c r="V505" s="6"/>
      <c r="W505" s="6"/>
      <c r="X505" s="6"/>
      <c r="Y505" s="6"/>
      <c r="Z505" s="6"/>
      <c r="AA505" s="6"/>
    </row>
    <row r="506" ht="15.75" customHeight="1">
      <c r="A506" s="59"/>
      <c r="B506" s="59"/>
      <c r="C506" s="59"/>
      <c r="D506" s="59"/>
      <c r="E506" s="59"/>
      <c r="F506" s="59"/>
      <c r="G506" s="59"/>
      <c r="H506" s="59"/>
      <c r="I506" s="59"/>
      <c r="J506" s="59"/>
      <c r="K506" s="59"/>
      <c r="L506" s="59"/>
      <c r="M506" s="59"/>
      <c r="N506" s="59"/>
      <c r="O506" s="7"/>
      <c r="P506" s="6"/>
      <c r="Q506" s="6"/>
      <c r="R506" s="6"/>
      <c r="S506" s="6"/>
      <c r="T506" s="6"/>
      <c r="U506" s="6"/>
      <c r="V506" s="6"/>
      <c r="W506" s="6"/>
      <c r="X506" s="6"/>
      <c r="Y506" s="6"/>
      <c r="Z506" s="6"/>
      <c r="AA506" s="6"/>
    </row>
    <row r="507" ht="15.75" customHeight="1">
      <c r="A507" s="59"/>
      <c r="B507" s="59"/>
      <c r="C507" s="59"/>
      <c r="D507" s="59"/>
      <c r="E507" s="59"/>
      <c r="F507" s="59"/>
      <c r="G507" s="59"/>
      <c r="H507" s="59"/>
      <c r="I507" s="59"/>
      <c r="J507" s="59"/>
      <c r="K507" s="59"/>
      <c r="L507" s="59"/>
      <c r="M507" s="59"/>
      <c r="N507" s="59"/>
      <c r="O507" s="7"/>
      <c r="P507" s="6"/>
      <c r="Q507" s="6"/>
      <c r="R507" s="6"/>
      <c r="S507" s="6"/>
      <c r="T507" s="6"/>
      <c r="U507" s="6"/>
      <c r="V507" s="6"/>
      <c r="W507" s="6"/>
      <c r="X507" s="6"/>
      <c r="Y507" s="6"/>
      <c r="Z507" s="6"/>
      <c r="AA507" s="6"/>
    </row>
    <row r="508" ht="15.75" customHeight="1">
      <c r="A508" s="59"/>
      <c r="B508" s="59"/>
      <c r="C508" s="59"/>
      <c r="D508" s="59"/>
      <c r="E508" s="59"/>
      <c r="F508" s="59"/>
      <c r="G508" s="59"/>
      <c r="H508" s="59"/>
      <c r="I508" s="59"/>
      <c r="J508" s="59"/>
      <c r="K508" s="59"/>
      <c r="L508" s="59"/>
      <c r="M508" s="59"/>
      <c r="N508" s="59"/>
      <c r="O508" s="7"/>
      <c r="P508" s="6"/>
      <c r="Q508" s="6"/>
      <c r="R508" s="6"/>
      <c r="S508" s="6"/>
      <c r="T508" s="6"/>
      <c r="U508" s="6"/>
      <c r="V508" s="6"/>
      <c r="W508" s="6"/>
      <c r="X508" s="6"/>
      <c r="Y508" s="6"/>
      <c r="Z508" s="6"/>
      <c r="AA508" s="6"/>
    </row>
    <row r="509" ht="15.75" customHeight="1">
      <c r="A509" s="59"/>
      <c r="B509" s="59"/>
      <c r="C509" s="59"/>
      <c r="D509" s="59"/>
      <c r="E509" s="59"/>
      <c r="F509" s="59"/>
      <c r="G509" s="59"/>
      <c r="H509" s="59"/>
      <c r="I509" s="59"/>
      <c r="J509" s="59"/>
      <c r="K509" s="59"/>
      <c r="L509" s="59"/>
      <c r="M509" s="59"/>
      <c r="N509" s="59"/>
      <c r="O509" s="7"/>
      <c r="P509" s="6"/>
      <c r="Q509" s="6"/>
      <c r="R509" s="6"/>
      <c r="S509" s="6"/>
      <c r="T509" s="6"/>
      <c r="U509" s="6"/>
      <c r="V509" s="6"/>
      <c r="W509" s="6"/>
      <c r="X509" s="6"/>
      <c r="Y509" s="6"/>
      <c r="Z509" s="6"/>
      <c r="AA509" s="6"/>
    </row>
    <row r="510" ht="15.75" customHeight="1">
      <c r="A510" s="59"/>
      <c r="B510" s="59"/>
      <c r="C510" s="59"/>
      <c r="D510" s="59"/>
      <c r="E510" s="59"/>
      <c r="F510" s="59"/>
      <c r="G510" s="59"/>
      <c r="H510" s="59"/>
      <c r="I510" s="59"/>
      <c r="J510" s="59"/>
      <c r="K510" s="59"/>
      <c r="L510" s="59"/>
      <c r="M510" s="59"/>
      <c r="N510" s="59"/>
      <c r="O510" s="7"/>
      <c r="P510" s="6"/>
      <c r="Q510" s="6"/>
      <c r="R510" s="6"/>
      <c r="S510" s="6"/>
      <c r="T510" s="6"/>
      <c r="U510" s="6"/>
      <c r="V510" s="6"/>
      <c r="W510" s="6"/>
      <c r="X510" s="6"/>
      <c r="Y510" s="6"/>
      <c r="Z510" s="6"/>
      <c r="AA510" s="6"/>
    </row>
    <row r="511" ht="15.75" customHeight="1">
      <c r="A511" s="59"/>
      <c r="B511" s="59"/>
      <c r="C511" s="59"/>
      <c r="D511" s="59"/>
      <c r="E511" s="59"/>
      <c r="F511" s="59"/>
      <c r="G511" s="59"/>
      <c r="H511" s="59"/>
      <c r="I511" s="59"/>
      <c r="J511" s="59"/>
      <c r="K511" s="59"/>
      <c r="L511" s="59"/>
      <c r="M511" s="59"/>
      <c r="N511" s="59"/>
      <c r="O511" s="7"/>
      <c r="P511" s="6"/>
      <c r="Q511" s="6"/>
      <c r="R511" s="6"/>
      <c r="S511" s="6"/>
      <c r="T511" s="6"/>
      <c r="U511" s="6"/>
      <c r="V511" s="6"/>
      <c r="W511" s="6"/>
      <c r="X511" s="6"/>
      <c r="Y511" s="6"/>
      <c r="Z511" s="6"/>
      <c r="AA511" s="6"/>
    </row>
    <row r="512" ht="15.75" customHeight="1">
      <c r="A512" s="59"/>
      <c r="B512" s="59"/>
      <c r="C512" s="59"/>
      <c r="D512" s="59"/>
      <c r="E512" s="59"/>
      <c r="F512" s="59"/>
      <c r="G512" s="59"/>
      <c r="H512" s="59"/>
      <c r="I512" s="59"/>
      <c r="J512" s="59"/>
      <c r="K512" s="59"/>
      <c r="L512" s="59"/>
      <c r="M512" s="59"/>
      <c r="N512" s="59"/>
      <c r="O512" s="7"/>
      <c r="P512" s="6"/>
      <c r="Q512" s="6"/>
      <c r="R512" s="6"/>
      <c r="S512" s="6"/>
      <c r="T512" s="6"/>
      <c r="U512" s="6"/>
      <c r="V512" s="6"/>
      <c r="W512" s="6"/>
      <c r="X512" s="6"/>
      <c r="Y512" s="6"/>
      <c r="Z512" s="6"/>
      <c r="AA512" s="6"/>
    </row>
    <row r="513" ht="15.75" customHeight="1">
      <c r="A513" s="59"/>
      <c r="B513" s="59"/>
      <c r="C513" s="59"/>
      <c r="D513" s="59"/>
      <c r="E513" s="59"/>
      <c r="F513" s="59"/>
      <c r="G513" s="59"/>
      <c r="H513" s="59"/>
      <c r="I513" s="59"/>
      <c r="J513" s="59"/>
      <c r="K513" s="59"/>
      <c r="L513" s="59"/>
      <c r="M513" s="59"/>
      <c r="N513" s="59"/>
      <c r="O513" s="7"/>
      <c r="P513" s="6"/>
      <c r="Q513" s="6"/>
      <c r="R513" s="6"/>
      <c r="S513" s="6"/>
      <c r="T513" s="6"/>
      <c r="U513" s="6"/>
      <c r="V513" s="6"/>
      <c r="W513" s="6"/>
      <c r="X513" s="6"/>
      <c r="Y513" s="6"/>
      <c r="Z513" s="6"/>
      <c r="AA513" s="6"/>
    </row>
    <row r="514" ht="15.75" customHeight="1">
      <c r="A514" s="59"/>
      <c r="B514" s="59"/>
      <c r="C514" s="59"/>
      <c r="D514" s="59"/>
      <c r="E514" s="59"/>
      <c r="F514" s="59"/>
      <c r="G514" s="59"/>
      <c r="H514" s="59"/>
      <c r="I514" s="59"/>
      <c r="J514" s="59"/>
      <c r="K514" s="59"/>
      <c r="L514" s="59"/>
      <c r="M514" s="59"/>
      <c r="N514" s="59"/>
      <c r="O514" s="7"/>
      <c r="P514" s="6"/>
      <c r="Q514" s="6"/>
      <c r="R514" s="6"/>
      <c r="S514" s="6"/>
      <c r="T514" s="6"/>
      <c r="U514" s="6"/>
      <c r="V514" s="6"/>
      <c r="W514" s="6"/>
      <c r="X514" s="6"/>
      <c r="Y514" s="6"/>
      <c r="Z514" s="6"/>
      <c r="AA514" s="6"/>
    </row>
    <row r="515" ht="15.75" customHeight="1">
      <c r="A515" s="59"/>
      <c r="B515" s="59"/>
      <c r="C515" s="59"/>
      <c r="D515" s="59"/>
      <c r="E515" s="59"/>
      <c r="F515" s="59"/>
      <c r="G515" s="59"/>
      <c r="H515" s="59"/>
      <c r="I515" s="59"/>
      <c r="J515" s="59"/>
      <c r="K515" s="59"/>
      <c r="L515" s="59"/>
      <c r="M515" s="59"/>
      <c r="N515" s="59"/>
      <c r="O515" s="7"/>
      <c r="P515" s="6"/>
      <c r="Q515" s="6"/>
      <c r="R515" s="6"/>
      <c r="S515" s="6"/>
      <c r="T515" s="6"/>
      <c r="U515" s="6"/>
      <c r="V515" s="6"/>
      <c r="W515" s="6"/>
      <c r="X515" s="6"/>
      <c r="Y515" s="6"/>
      <c r="Z515" s="6"/>
      <c r="AA515" s="6"/>
    </row>
    <row r="516" ht="15.75" customHeight="1">
      <c r="A516" s="59"/>
      <c r="B516" s="59"/>
      <c r="C516" s="59"/>
      <c r="D516" s="59"/>
      <c r="E516" s="59"/>
      <c r="F516" s="59"/>
      <c r="G516" s="59"/>
      <c r="H516" s="59"/>
      <c r="I516" s="59"/>
      <c r="J516" s="59"/>
      <c r="K516" s="59"/>
      <c r="L516" s="59"/>
      <c r="M516" s="59"/>
      <c r="N516" s="59"/>
      <c r="O516" s="7"/>
      <c r="P516" s="6"/>
      <c r="Q516" s="6"/>
      <c r="R516" s="6"/>
      <c r="S516" s="6"/>
      <c r="T516" s="6"/>
      <c r="U516" s="6"/>
      <c r="V516" s="6"/>
      <c r="W516" s="6"/>
      <c r="X516" s="6"/>
      <c r="Y516" s="6"/>
      <c r="Z516" s="6"/>
      <c r="AA516" s="6"/>
    </row>
    <row r="517" ht="15.75" customHeight="1">
      <c r="A517" s="59"/>
      <c r="B517" s="59"/>
      <c r="C517" s="59"/>
      <c r="D517" s="59"/>
      <c r="E517" s="59"/>
      <c r="F517" s="59"/>
      <c r="G517" s="59"/>
      <c r="H517" s="59"/>
      <c r="I517" s="59"/>
      <c r="J517" s="59"/>
      <c r="K517" s="59"/>
      <c r="L517" s="59"/>
      <c r="M517" s="59"/>
      <c r="N517" s="59"/>
      <c r="O517" s="7"/>
      <c r="P517" s="6"/>
      <c r="Q517" s="6"/>
      <c r="R517" s="6"/>
      <c r="S517" s="6"/>
      <c r="T517" s="6"/>
      <c r="U517" s="6"/>
      <c r="V517" s="6"/>
      <c r="W517" s="6"/>
      <c r="X517" s="6"/>
      <c r="Y517" s="6"/>
      <c r="Z517" s="6"/>
      <c r="AA517" s="6"/>
    </row>
    <row r="518" ht="15.75" customHeight="1">
      <c r="A518" s="59"/>
      <c r="B518" s="59"/>
      <c r="C518" s="59"/>
      <c r="D518" s="59"/>
      <c r="E518" s="59"/>
      <c r="F518" s="59"/>
      <c r="G518" s="59"/>
      <c r="H518" s="59"/>
      <c r="I518" s="59"/>
      <c r="J518" s="59"/>
      <c r="K518" s="59"/>
      <c r="L518" s="59"/>
      <c r="M518" s="59"/>
      <c r="N518" s="59"/>
      <c r="O518" s="7"/>
      <c r="P518" s="6"/>
      <c r="Q518" s="6"/>
      <c r="R518" s="6"/>
      <c r="S518" s="6"/>
      <c r="T518" s="6"/>
      <c r="U518" s="6"/>
      <c r="V518" s="6"/>
      <c r="W518" s="6"/>
      <c r="X518" s="6"/>
      <c r="Y518" s="6"/>
      <c r="Z518" s="6"/>
      <c r="AA518" s="6"/>
    </row>
    <row r="519" ht="15.75" customHeight="1">
      <c r="A519" s="59"/>
      <c r="B519" s="59"/>
      <c r="C519" s="59"/>
      <c r="D519" s="59"/>
      <c r="E519" s="59"/>
      <c r="F519" s="59"/>
      <c r="G519" s="59"/>
      <c r="H519" s="59"/>
      <c r="I519" s="59"/>
      <c r="J519" s="59"/>
      <c r="K519" s="59"/>
      <c r="L519" s="59"/>
      <c r="M519" s="59"/>
      <c r="N519" s="59"/>
      <c r="O519" s="7"/>
      <c r="P519" s="6"/>
      <c r="Q519" s="6"/>
      <c r="R519" s="6"/>
      <c r="S519" s="6"/>
      <c r="T519" s="6"/>
      <c r="U519" s="6"/>
      <c r="V519" s="6"/>
      <c r="W519" s="6"/>
      <c r="X519" s="6"/>
      <c r="Y519" s="6"/>
      <c r="Z519" s="6"/>
      <c r="AA519" s="6"/>
    </row>
    <row r="520" ht="15.75" customHeight="1">
      <c r="A520" s="59"/>
      <c r="B520" s="59"/>
      <c r="C520" s="59"/>
      <c r="D520" s="59"/>
      <c r="E520" s="59"/>
      <c r="F520" s="59"/>
      <c r="G520" s="59"/>
      <c r="H520" s="59"/>
      <c r="I520" s="59"/>
      <c r="J520" s="59"/>
      <c r="K520" s="59"/>
      <c r="L520" s="59"/>
      <c r="M520" s="59"/>
      <c r="N520" s="59"/>
      <c r="O520" s="7"/>
      <c r="P520" s="6"/>
      <c r="Q520" s="6"/>
      <c r="R520" s="6"/>
      <c r="S520" s="6"/>
      <c r="T520" s="6"/>
      <c r="U520" s="6"/>
      <c r="V520" s="6"/>
      <c r="W520" s="6"/>
      <c r="X520" s="6"/>
      <c r="Y520" s="6"/>
      <c r="Z520" s="6"/>
      <c r="AA520" s="6"/>
    </row>
    <row r="521" ht="15.75" customHeight="1">
      <c r="A521" s="59"/>
      <c r="B521" s="59"/>
      <c r="C521" s="59"/>
      <c r="D521" s="59"/>
      <c r="E521" s="59"/>
      <c r="F521" s="59"/>
      <c r="G521" s="59"/>
      <c r="H521" s="59"/>
      <c r="I521" s="59"/>
      <c r="J521" s="59"/>
      <c r="K521" s="59"/>
      <c r="L521" s="59"/>
      <c r="M521" s="59"/>
      <c r="N521" s="59"/>
      <c r="O521" s="7"/>
      <c r="P521" s="6"/>
      <c r="Q521" s="6"/>
      <c r="R521" s="6"/>
      <c r="S521" s="6"/>
      <c r="T521" s="6"/>
      <c r="U521" s="6"/>
      <c r="V521" s="6"/>
      <c r="W521" s="6"/>
      <c r="X521" s="6"/>
      <c r="Y521" s="6"/>
      <c r="Z521" s="6"/>
      <c r="AA521" s="6"/>
    </row>
    <row r="522" ht="15.75" customHeight="1">
      <c r="A522" s="59"/>
      <c r="B522" s="59"/>
      <c r="C522" s="59"/>
      <c r="D522" s="59"/>
      <c r="E522" s="59"/>
      <c r="F522" s="59"/>
      <c r="G522" s="59"/>
      <c r="H522" s="59"/>
      <c r="I522" s="59"/>
      <c r="J522" s="59"/>
      <c r="K522" s="59"/>
      <c r="L522" s="59"/>
      <c r="M522" s="59"/>
      <c r="N522" s="59"/>
      <c r="O522" s="7"/>
      <c r="P522" s="6"/>
      <c r="Q522" s="6"/>
      <c r="R522" s="6"/>
      <c r="S522" s="6"/>
      <c r="T522" s="6"/>
      <c r="U522" s="6"/>
      <c r="V522" s="6"/>
      <c r="W522" s="6"/>
      <c r="X522" s="6"/>
      <c r="Y522" s="6"/>
      <c r="Z522" s="6"/>
      <c r="AA522" s="6"/>
    </row>
    <row r="523" ht="15.75" customHeight="1">
      <c r="A523" s="59"/>
      <c r="B523" s="59"/>
      <c r="C523" s="59"/>
      <c r="D523" s="59"/>
      <c r="E523" s="59"/>
      <c r="F523" s="59"/>
      <c r="G523" s="59"/>
      <c r="H523" s="59"/>
      <c r="I523" s="59"/>
      <c r="J523" s="59"/>
      <c r="K523" s="59"/>
      <c r="L523" s="59"/>
      <c r="M523" s="59"/>
      <c r="N523" s="59"/>
      <c r="O523" s="7"/>
      <c r="P523" s="6"/>
      <c r="Q523" s="6"/>
      <c r="R523" s="6"/>
      <c r="S523" s="6"/>
      <c r="T523" s="6"/>
      <c r="U523" s="6"/>
      <c r="V523" s="6"/>
      <c r="W523" s="6"/>
      <c r="X523" s="6"/>
      <c r="Y523" s="6"/>
      <c r="Z523" s="6"/>
      <c r="AA523" s="6"/>
    </row>
    <row r="524" ht="15.75" customHeight="1">
      <c r="A524" s="59"/>
      <c r="B524" s="59"/>
      <c r="C524" s="59"/>
      <c r="D524" s="59"/>
      <c r="E524" s="59"/>
      <c r="F524" s="59"/>
      <c r="G524" s="59"/>
      <c r="H524" s="59"/>
      <c r="I524" s="59"/>
      <c r="J524" s="59"/>
      <c r="K524" s="59"/>
      <c r="L524" s="59"/>
      <c r="M524" s="59"/>
      <c r="N524" s="59"/>
      <c r="O524" s="7"/>
      <c r="P524" s="6"/>
      <c r="Q524" s="6"/>
      <c r="R524" s="6"/>
      <c r="S524" s="6"/>
      <c r="T524" s="6"/>
      <c r="U524" s="6"/>
      <c r="V524" s="6"/>
      <c r="W524" s="6"/>
      <c r="X524" s="6"/>
      <c r="Y524" s="6"/>
      <c r="Z524" s="6"/>
      <c r="AA524" s="6"/>
    </row>
    <row r="525" ht="15.75" customHeight="1">
      <c r="A525" s="59"/>
      <c r="B525" s="59"/>
      <c r="C525" s="59"/>
      <c r="D525" s="59"/>
      <c r="E525" s="59"/>
      <c r="F525" s="59"/>
      <c r="G525" s="59"/>
      <c r="H525" s="59"/>
      <c r="I525" s="59"/>
      <c r="J525" s="59"/>
      <c r="K525" s="59"/>
      <c r="L525" s="59"/>
      <c r="M525" s="59"/>
      <c r="N525" s="59"/>
      <c r="O525" s="7"/>
      <c r="P525" s="6"/>
      <c r="Q525" s="6"/>
      <c r="R525" s="6"/>
      <c r="S525" s="6"/>
      <c r="T525" s="6"/>
      <c r="U525" s="6"/>
      <c r="V525" s="6"/>
      <c r="W525" s="6"/>
      <c r="X525" s="6"/>
      <c r="Y525" s="6"/>
      <c r="Z525" s="6"/>
      <c r="AA525" s="6"/>
    </row>
    <row r="526" ht="15.75" customHeight="1">
      <c r="A526" s="59"/>
      <c r="B526" s="59"/>
      <c r="C526" s="59"/>
      <c r="D526" s="59"/>
      <c r="E526" s="59"/>
      <c r="F526" s="59"/>
      <c r="G526" s="59"/>
      <c r="H526" s="59"/>
      <c r="I526" s="59"/>
      <c r="J526" s="59"/>
      <c r="K526" s="59"/>
      <c r="L526" s="59"/>
      <c r="M526" s="59"/>
      <c r="N526" s="59"/>
      <c r="O526" s="7"/>
      <c r="P526" s="6"/>
      <c r="Q526" s="6"/>
      <c r="R526" s="6"/>
      <c r="S526" s="6"/>
      <c r="T526" s="6"/>
      <c r="U526" s="6"/>
      <c r="V526" s="6"/>
      <c r="W526" s="6"/>
      <c r="X526" s="6"/>
      <c r="Y526" s="6"/>
      <c r="Z526" s="6"/>
      <c r="AA526" s="6"/>
    </row>
    <row r="527" ht="15.75" customHeight="1">
      <c r="A527" s="59"/>
      <c r="B527" s="59"/>
      <c r="C527" s="59"/>
      <c r="D527" s="59"/>
      <c r="E527" s="59"/>
      <c r="F527" s="59"/>
      <c r="G527" s="59"/>
      <c r="H527" s="59"/>
      <c r="I527" s="59"/>
      <c r="J527" s="59"/>
      <c r="K527" s="59"/>
      <c r="L527" s="59"/>
      <c r="M527" s="59"/>
      <c r="N527" s="59"/>
      <c r="O527" s="7"/>
      <c r="P527" s="6"/>
      <c r="Q527" s="6"/>
      <c r="R527" s="6"/>
      <c r="S527" s="6"/>
      <c r="T527" s="6"/>
      <c r="U527" s="6"/>
      <c r="V527" s="6"/>
      <c r="W527" s="6"/>
      <c r="X527" s="6"/>
      <c r="Y527" s="6"/>
      <c r="Z527" s="6"/>
      <c r="AA527" s="6"/>
    </row>
    <row r="528" ht="15.75" customHeight="1">
      <c r="A528" s="59"/>
      <c r="B528" s="59"/>
      <c r="C528" s="59"/>
      <c r="D528" s="59"/>
      <c r="E528" s="59"/>
      <c r="F528" s="59"/>
      <c r="G528" s="59"/>
      <c r="H528" s="59"/>
      <c r="I528" s="59"/>
      <c r="J528" s="59"/>
      <c r="K528" s="59"/>
      <c r="L528" s="59"/>
      <c r="M528" s="59"/>
      <c r="N528" s="59"/>
      <c r="O528" s="7"/>
      <c r="P528" s="6"/>
      <c r="Q528" s="6"/>
      <c r="R528" s="6"/>
      <c r="S528" s="6"/>
      <c r="T528" s="6"/>
      <c r="U528" s="6"/>
      <c r="V528" s="6"/>
      <c r="W528" s="6"/>
      <c r="X528" s="6"/>
      <c r="Y528" s="6"/>
      <c r="Z528" s="6"/>
      <c r="AA528" s="6"/>
    </row>
    <row r="529" ht="15.75" customHeight="1">
      <c r="A529" s="59"/>
      <c r="B529" s="59"/>
      <c r="C529" s="59"/>
      <c r="D529" s="59"/>
      <c r="E529" s="59"/>
      <c r="F529" s="59"/>
      <c r="G529" s="59"/>
      <c r="H529" s="59"/>
      <c r="I529" s="59"/>
      <c r="J529" s="59"/>
      <c r="K529" s="59"/>
      <c r="L529" s="59"/>
      <c r="M529" s="59"/>
      <c r="N529" s="59"/>
      <c r="O529" s="7"/>
      <c r="P529" s="6"/>
      <c r="Q529" s="6"/>
      <c r="R529" s="6"/>
      <c r="S529" s="6"/>
      <c r="T529" s="6"/>
      <c r="U529" s="6"/>
      <c r="V529" s="6"/>
      <c r="W529" s="6"/>
      <c r="X529" s="6"/>
      <c r="Y529" s="6"/>
      <c r="Z529" s="6"/>
      <c r="AA529" s="6"/>
    </row>
    <row r="530" ht="15.75" customHeight="1">
      <c r="A530" s="59"/>
      <c r="B530" s="59"/>
      <c r="C530" s="59"/>
      <c r="D530" s="59"/>
      <c r="E530" s="59"/>
      <c r="F530" s="59"/>
      <c r="G530" s="59"/>
      <c r="H530" s="59"/>
      <c r="I530" s="59"/>
      <c r="J530" s="59"/>
      <c r="K530" s="59"/>
      <c r="L530" s="59"/>
      <c r="M530" s="59"/>
      <c r="N530" s="59"/>
      <c r="O530" s="7"/>
      <c r="P530" s="6"/>
      <c r="Q530" s="6"/>
      <c r="R530" s="6"/>
      <c r="S530" s="6"/>
      <c r="T530" s="6"/>
      <c r="U530" s="6"/>
      <c r="V530" s="6"/>
      <c r="W530" s="6"/>
      <c r="X530" s="6"/>
      <c r="Y530" s="6"/>
      <c r="Z530" s="6"/>
      <c r="AA530" s="6"/>
    </row>
    <row r="531" ht="15.75" customHeight="1">
      <c r="A531" s="59"/>
      <c r="B531" s="59"/>
      <c r="C531" s="59"/>
      <c r="D531" s="59"/>
      <c r="E531" s="59"/>
      <c r="F531" s="59"/>
      <c r="G531" s="59"/>
      <c r="H531" s="59"/>
      <c r="I531" s="59"/>
      <c r="J531" s="59"/>
      <c r="K531" s="59"/>
      <c r="L531" s="59"/>
      <c r="M531" s="59"/>
      <c r="N531" s="59"/>
      <c r="O531" s="7"/>
      <c r="P531" s="6"/>
      <c r="Q531" s="6"/>
      <c r="R531" s="6"/>
      <c r="S531" s="6"/>
      <c r="T531" s="6"/>
      <c r="U531" s="6"/>
      <c r="V531" s="6"/>
      <c r="W531" s="6"/>
      <c r="X531" s="6"/>
      <c r="Y531" s="6"/>
      <c r="Z531" s="6"/>
      <c r="AA531" s="6"/>
    </row>
    <row r="532" ht="15.75" customHeight="1">
      <c r="A532" s="59"/>
      <c r="B532" s="59"/>
      <c r="C532" s="59"/>
      <c r="D532" s="59"/>
      <c r="E532" s="59"/>
      <c r="F532" s="59"/>
      <c r="G532" s="59"/>
      <c r="H532" s="59"/>
      <c r="I532" s="59"/>
      <c r="J532" s="59"/>
      <c r="K532" s="59"/>
      <c r="L532" s="59"/>
      <c r="M532" s="59"/>
      <c r="N532" s="59"/>
      <c r="O532" s="7"/>
      <c r="P532" s="6"/>
      <c r="Q532" s="6"/>
      <c r="R532" s="6"/>
      <c r="S532" s="6"/>
      <c r="T532" s="6"/>
      <c r="U532" s="6"/>
      <c r="V532" s="6"/>
      <c r="W532" s="6"/>
      <c r="X532" s="6"/>
      <c r="Y532" s="6"/>
      <c r="Z532" s="6"/>
      <c r="AA532" s="6"/>
    </row>
    <row r="533" ht="15.75" customHeight="1">
      <c r="A533" s="59"/>
      <c r="B533" s="59"/>
      <c r="C533" s="59"/>
      <c r="D533" s="59"/>
      <c r="E533" s="59"/>
      <c r="F533" s="59"/>
      <c r="G533" s="59"/>
      <c r="H533" s="59"/>
      <c r="I533" s="59"/>
      <c r="J533" s="59"/>
      <c r="K533" s="59"/>
      <c r="L533" s="59"/>
      <c r="M533" s="59"/>
      <c r="N533" s="59"/>
      <c r="O533" s="7"/>
      <c r="P533" s="6"/>
      <c r="Q533" s="6"/>
      <c r="R533" s="6"/>
      <c r="S533" s="6"/>
      <c r="T533" s="6"/>
      <c r="U533" s="6"/>
      <c r="V533" s="6"/>
      <c r="W533" s="6"/>
      <c r="X533" s="6"/>
      <c r="Y533" s="6"/>
      <c r="Z533" s="6"/>
      <c r="AA533" s="6"/>
    </row>
    <row r="534" ht="15.75" customHeight="1">
      <c r="A534" s="59"/>
      <c r="B534" s="59"/>
      <c r="C534" s="59"/>
      <c r="D534" s="59"/>
      <c r="E534" s="59"/>
      <c r="F534" s="59"/>
      <c r="G534" s="59"/>
      <c r="H534" s="59"/>
      <c r="I534" s="59"/>
      <c r="J534" s="59"/>
      <c r="K534" s="59"/>
      <c r="L534" s="59"/>
      <c r="M534" s="59"/>
      <c r="N534" s="59"/>
      <c r="O534" s="7"/>
      <c r="P534" s="6"/>
      <c r="Q534" s="6"/>
      <c r="R534" s="6"/>
      <c r="S534" s="6"/>
      <c r="T534" s="6"/>
      <c r="U534" s="6"/>
      <c r="V534" s="6"/>
      <c r="W534" s="6"/>
      <c r="X534" s="6"/>
      <c r="Y534" s="6"/>
      <c r="Z534" s="6"/>
      <c r="AA534" s="6"/>
    </row>
    <row r="535" ht="15.75" customHeight="1">
      <c r="A535" s="59"/>
      <c r="B535" s="59"/>
      <c r="C535" s="59"/>
      <c r="D535" s="59"/>
      <c r="E535" s="59"/>
      <c r="F535" s="59"/>
      <c r="G535" s="59"/>
      <c r="H535" s="59"/>
      <c r="I535" s="59"/>
      <c r="J535" s="59"/>
      <c r="K535" s="59"/>
      <c r="L535" s="59"/>
      <c r="M535" s="59"/>
      <c r="N535" s="59"/>
      <c r="O535" s="7"/>
      <c r="P535" s="6"/>
      <c r="Q535" s="6"/>
      <c r="R535" s="6"/>
      <c r="S535" s="6"/>
      <c r="T535" s="6"/>
      <c r="U535" s="6"/>
      <c r="V535" s="6"/>
      <c r="W535" s="6"/>
      <c r="X535" s="6"/>
      <c r="Y535" s="6"/>
      <c r="Z535" s="6"/>
      <c r="AA535" s="6"/>
    </row>
    <row r="536" ht="15.75" customHeight="1">
      <c r="A536" s="59"/>
      <c r="B536" s="59"/>
      <c r="C536" s="59"/>
      <c r="D536" s="59"/>
      <c r="E536" s="59"/>
      <c r="F536" s="59"/>
      <c r="G536" s="59"/>
      <c r="H536" s="59"/>
      <c r="I536" s="59"/>
      <c r="J536" s="59"/>
      <c r="K536" s="59"/>
      <c r="L536" s="59"/>
      <c r="M536" s="59"/>
      <c r="N536" s="59"/>
      <c r="O536" s="7"/>
      <c r="P536" s="6"/>
      <c r="Q536" s="6"/>
      <c r="R536" s="6"/>
      <c r="S536" s="6"/>
      <c r="T536" s="6"/>
      <c r="U536" s="6"/>
      <c r="V536" s="6"/>
      <c r="W536" s="6"/>
      <c r="X536" s="6"/>
      <c r="Y536" s="6"/>
      <c r="Z536" s="6"/>
      <c r="AA536" s="6"/>
    </row>
    <row r="537" ht="15.75" customHeight="1">
      <c r="A537" s="59"/>
      <c r="B537" s="59"/>
      <c r="C537" s="59"/>
      <c r="D537" s="59"/>
      <c r="E537" s="59"/>
      <c r="F537" s="59"/>
      <c r="G537" s="59"/>
      <c r="H537" s="59"/>
      <c r="I537" s="59"/>
      <c r="J537" s="59"/>
      <c r="K537" s="59"/>
      <c r="L537" s="59"/>
      <c r="M537" s="59"/>
      <c r="N537" s="59"/>
      <c r="O537" s="7"/>
      <c r="P537" s="6"/>
      <c r="Q537" s="6"/>
      <c r="R537" s="6"/>
      <c r="S537" s="6"/>
      <c r="T537" s="6"/>
      <c r="U537" s="6"/>
      <c r="V537" s="6"/>
      <c r="W537" s="6"/>
      <c r="X537" s="6"/>
      <c r="Y537" s="6"/>
      <c r="Z537" s="6"/>
      <c r="AA537" s="6"/>
    </row>
    <row r="538" ht="15.75" customHeight="1">
      <c r="A538" s="59"/>
      <c r="B538" s="59"/>
      <c r="C538" s="59"/>
      <c r="D538" s="59"/>
      <c r="E538" s="59"/>
      <c r="F538" s="59"/>
      <c r="G538" s="59"/>
      <c r="H538" s="59"/>
      <c r="I538" s="59"/>
      <c r="J538" s="59"/>
      <c r="K538" s="59"/>
      <c r="L538" s="59"/>
      <c r="M538" s="59"/>
      <c r="N538" s="59"/>
      <c r="O538" s="7"/>
      <c r="P538" s="6"/>
      <c r="Q538" s="6"/>
      <c r="R538" s="6"/>
      <c r="S538" s="6"/>
      <c r="T538" s="6"/>
      <c r="U538" s="6"/>
      <c r="V538" s="6"/>
      <c r="W538" s="6"/>
      <c r="X538" s="6"/>
      <c r="Y538" s="6"/>
      <c r="Z538" s="6"/>
      <c r="AA538" s="6"/>
    </row>
    <row r="539" ht="15.75" customHeight="1">
      <c r="A539" s="59"/>
      <c r="B539" s="59"/>
      <c r="C539" s="59"/>
      <c r="D539" s="59"/>
      <c r="E539" s="59"/>
      <c r="F539" s="59"/>
      <c r="G539" s="59"/>
      <c r="H539" s="59"/>
      <c r="I539" s="59"/>
      <c r="J539" s="59"/>
      <c r="K539" s="59"/>
      <c r="L539" s="59"/>
      <c r="M539" s="59"/>
      <c r="N539" s="59"/>
      <c r="O539" s="7"/>
      <c r="P539" s="6"/>
      <c r="Q539" s="6"/>
      <c r="R539" s="6"/>
      <c r="S539" s="6"/>
      <c r="T539" s="6"/>
      <c r="U539" s="6"/>
      <c r="V539" s="6"/>
      <c r="W539" s="6"/>
      <c r="X539" s="6"/>
      <c r="Y539" s="6"/>
      <c r="Z539" s="6"/>
      <c r="AA539" s="6"/>
    </row>
    <row r="540" ht="15.75" customHeight="1">
      <c r="A540" s="59"/>
      <c r="B540" s="59"/>
      <c r="C540" s="59"/>
      <c r="D540" s="59"/>
      <c r="E540" s="59"/>
      <c r="F540" s="59"/>
      <c r="G540" s="59"/>
      <c r="H540" s="59"/>
      <c r="I540" s="59"/>
      <c r="J540" s="59"/>
      <c r="K540" s="59"/>
      <c r="L540" s="59"/>
      <c r="M540" s="59"/>
      <c r="N540" s="59"/>
      <c r="O540" s="7"/>
      <c r="P540" s="6"/>
      <c r="Q540" s="6"/>
      <c r="R540" s="6"/>
      <c r="S540" s="6"/>
      <c r="T540" s="6"/>
      <c r="U540" s="6"/>
      <c r="V540" s="6"/>
      <c r="W540" s="6"/>
      <c r="X540" s="6"/>
      <c r="Y540" s="6"/>
      <c r="Z540" s="6"/>
      <c r="AA540" s="6"/>
    </row>
    <row r="541" ht="15.75" customHeight="1">
      <c r="A541" s="59"/>
      <c r="B541" s="59"/>
      <c r="C541" s="59"/>
      <c r="D541" s="59"/>
      <c r="E541" s="59"/>
      <c r="F541" s="59"/>
      <c r="G541" s="59"/>
      <c r="H541" s="59"/>
      <c r="I541" s="59"/>
      <c r="J541" s="59"/>
      <c r="K541" s="59"/>
      <c r="L541" s="59"/>
      <c r="M541" s="59"/>
      <c r="N541" s="59"/>
      <c r="O541" s="7"/>
      <c r="P541" s="6"/>
      <c r="Q541" s="6"/>
      <c r="R541" s="6"/>
      <c r="S541" s="6"/>
      <c r="T541" s="6"/>
      <c r="U541" s="6"/>
      <c r="V541" s="6"/>
      <c r="W541" s="6"/>
      <c r="X541" s="6"/>
      <c r="Y541" s="6"/>
      <c r="Z541" s="6"/>
      <c r="AA541" s="6"/>
    </row>
    <row r="542" ht="15.75" customHeight="1">
      <c r="A542" s="59"/>
      <c r="B542" s="59"/>
      <c r="C542" s="59"/>
      <c r="D542" s="59"/>
      <c r="E542" s="59"/>
      <c r="F542" s="59"/>
      <c r="G542" s="59"/>
      <c r="H542" s="59"/>
      <c r="I542" s="59"/>
      <c r="J542" s="59"/>
      <c r="K542" s="59"/>
      <c r="L542" s="59"/>
      <c r="M542" s="59"/>
      <c r="N542" s="59"/>
      <c r="O542" s="7"/>
      <c r="P542" s="6"/>
      <c r="Q542" s="6"/>
      <c r="R542" s="6"/>
      <c r="S542" s="6"/>
      <c r="T542" s="6"/>
      <c r="U542" s="6"/>
      <c r="V542" s="6"/>
      <c r="W542" s="6"/>
      <c r="X542" s="6"/>
      <c r="Y542" s="6"/>
      <c r="Z542" s="6"/>
      <c r="AA542" s="6"/>
    </row>
    <row r="543" ht="15.75" customHeight="1">
      <c r="A543" s="59"/>
      <c r="B543" s="59"/>
      <c r="C543" s="59"/>
      <c r="D543" s="59"/>
      <c r="E543" s="59"/>
      <c r="F543" s="59"/>
      <c r="G543" s="59"/>
      <c r="H543" s="59"/>
      <c r="I543" s="59"/>
      <c r="J543" s="59"/>
      <c r="K543" s="59"/>
      <c r="L543" s="59"/>
      <c r="M543" s="59"/>
      <c r="N543" s="59"/>
      <c r="O543" s="7"/>
      <c r="P543" s="6"/>
      <c r="Q543" s="6"/>
      <c r="R543" s="6"/>
      <c r="S543" s="6"/>
      <c r="T543" s="6"/>
      <c r="U543" s="6"/>
      <c r="V543" s="6"/>
      <c r="W543" s="6"/>
      <c r="X543" s="6"/>
      <c r="Y543" s="6"/>
      <c r="Z543" s="6"/>
      <c r="AA543" s="6"/>
    </row>
    <row r="544" ht="15.75" customHeight="1">
      <c r="A544" s="59"/>
      <c r="B544" s="59"/>
      <c r="C544" s="59"/>
      <c r="D544" s="59"/>
      <c r="E544" s="59"/>
      <c r="F544" s="59"/>
      <c r="G544" s="59"/>
      <c r="H544" s="59"/>
      <c r="I544" s="59"/>
      <c r="J544" s="59"/>
      <c r="K544" s="59"/>
      <c r="L544" s="59"/>
      <c r="M544" s="59"/>
      <c r="N544" s="59"/>
      <c r="O544" s="7"/>
      <c r="P544" s="6"/>
      <c r="Q544" s="6"/>
      <c r="R544" s="6"/>
      <c r="S544" s="6"/>
      <c r="T544" s="6"/>
      <c r="U544" s="6"/>
      <c r="V544" s="6"/>
      <c r="W544" s="6"/>
      <c r="X544" s="6"/>
      <c r="Y544" s="6"/>
      <c r="Z544" s="6"/>
      <c r="AA544" s="6"/>
    </row>
    <row r="545" ht="15.75" customHeight="1">
      <c r="A545" s="59"/>
      <c r="B545" s="59"/>
      <c r="C545" s="59"/>
      <c r="D545" s="59"/>
      <c r="E545" s="59"/>
      <c r="F545" s="59"/>
      <c r="G545" s="59"/>
      <c r="H545" s="59"/>
      <c r="I545" s="59"/>
      <c r="J545" s="59"/>
      <c r="K545" s="59"/>
      <c r="L545" s="59"/>
      <c r="M545" s="59"/>
      <c r="N545" s="59"/>
      <c r="O545" s="7"/>
      <c r="P545" s="6"/>
      <c r="Q545" s="6"/>
      <c r="R545" s="6"/>
      <c r="S545" s="6"/>
      <c r="T545" s="6"/>
      <c r="U545" s="6"/>
      <c r="V545" s="6"/>
      <c r="W545" s="6"/>
      <c r="X545" s="6"/>
      <c r="Y545" s="6"/>
      <c r="Z545" s="6"/>
      <c r="AA545" s="6"/>
    </row>
    <row r="546" ht="15.75" customHeight="1">
      <c r="A546" s="59"/>
      <c r="B546" s="59"/>
      <c r="C546" s="59"/>
      <c r="D546" s="59"/>
      <c r="E546" s="59"/>
      <c r="F546" s="59"/>
      <c r="G546" s="59"/>
      <c r="H546" s="59"/>
      <c r="I546" s="59"/>
      <c r="J546" s="59"/>
      <c r="K546" s="59"/>
      <c r="L546" s="59"/>
      <c r="M546" s="59"/>
      <c r="N546" s="59"/>
      <c r="O546" s="7"/>
      <c r="P546" s="6"/>
      <c r="Q546" s="6"/>
      <c r="R546" s="6"/>
      <c r="S546" s="6"/>
      <c r="T546" s="6"/>
      <c r="U546" s="6"/>
      <c r="V546" s="6"/>
      <c r="W546" s="6"/>
      <c r="X546" s="6"/>
      <c r="Y546" s="6"/>
      <c r="Z546" s="6"/>
      <c r="AA546" s="6"/>
    </row>
    <row r="547" ht="15.75" customHeight="1">
      <c r="A547" s="59"/>
      <c r="B547" s="59"/>
      <c r="C547" s="59"/>
      <c r="D547" s="59"/>
      <c r="E547" s="59"/>
      <c r="F547" s="59"/>
      <c r="G547" s="59"/>
      <c r="H547" s="59"/>
      <c r="I547" s="59"/>
      <c r="J547" s="59"/>
      <c r="K547" s="59"/>
      <c r="L547" s="59"/>
      <c r="M547" s="59"/>
      <c r="N547" s="59"/>
      <c r="O547" s="7"/>
      <c r="P547" s="6"/>
      <c r="Q547" s="6"/>
      <c r="R547" s="6"/>
      <c r="S547" s="6"/>
      <c r="T547" s="6"/>
      <c r="U547" s="6"/>
      <c r="V547" s="6"/>
      <c r="W547" s="6"/>
      <c r="X547" s="6"/>
      <c r="Y547" s="6"/>
      <c r="Z547" s="6"/>
      <c r="AA547" s="6"/>
    </row>
    <row r="548" ht="15.75" customHeight="1">
      <c r="A548" s="59"/>
      <c r="B548" s="59"/>
      <c r="C548" s="59"/>
      <c r="D548" s="59"/>
      <c r="E548" s="59"/>
      <c r="F548" s="59"/>
      <c r="G548" s="59"/>
      <c r="H548" s="59"/>
      <c r="I548" s="59"/>
      <c r="J548" s="59"/>
      <c r="K548" s="59"/>
      <c r="L548" s="59"/>
      <c r="M548" s="59"/>
      <c r="N548" s="59"/>
      <c r="O548" s="7"/>
      <c r="P548" s="6"/>
      <c r="Q548" s="6"/>
      <c r="R548" s="6"/>
      <c r="S548" s="6"/>
      <c r="T548" s="6"/>
      <c r="U548" s="6"/>
      <c r="V548" s="6"/>
      <c r="W548" s="6"/>
      <c r="X548" s="6"/>
      <c r="Y548" s="6"/>
      <c r="Z548" s="6"/>
      <c r="AA548" s="6"/>
    </row>
    <row r="549" ht="15.75" customHeight="1">
      <c r="A549" s="59"/>
      <c r="B549" s="59"/>
      <c r="C549" s="59"/>
      <c r="D549" s="59"/>
      <c r="E549" s="59"/>
      <c r="F549" s="59"/>
      <c r="G549" s="59"/>
      <c r="H549" s="59"/>
      <c r="I549" s="59"/>
      <c r="J549" s="59"/>
      <c r="K549" s="59"/>
      <c r="L549" s="59"/>
      <c r="M549" s="59"/>
      <c r="N549" s="59"/>
      <c r="O549" s="7"/>
      <c r="P549" s="6"/>
      <c r="Q549" s="6"/>
      <c r="R549" s="6"/>
      <c r="S549" s="6"/>
      <c r="T549" s="6"/>
      <c r="U549" s="6"/>
      <c r="V549" s="6"/>
      <c r="W549" s="6"/>
      <c r="X549" s="6"/>
      <c r="Y549" s="6"/>
      <c r="Z549" s="6"/>
      <c r="AA549" s="6"/>
    </row>
    <row r="550" ht="15.75" customHeight="1">
      <c r="A550" s="59"/>
      <c r="B550" s="59"/>
      <c r="C550" s="59"/>
      <c r="D550" s="59"/>
      <c r="E550" s="59"/>
      <c r="F550" s="59"/>
      <c r="G550" s="59"/>
      <c r="H550" s="59"/>
      <c r="I550" s="59"/>
      <c r="J550" s="59"/>
      <c r="K550" s="59"/>
      <c r="L550" s="59"/>
      <c r="M550" s="59"/>
      <c r="N550" s="59"/>
      <c r="O550" s="7"/>
      <c r="P550" s="6"/>
      <c r="Q550" s="6"/>
      <c r="R550" s="6"/>
      <c r="S550" s="6"/>
      <c r="T550" s="6"/>
      <c r="U550" s="6"/>
      <c r="V550" s="6"/>
      <c r="W550" s="6"/>
      <c r="X550" s="6"/>
      <c r="Y550" s="6"/>
      <c r="Z550" s="6"/>
      <c r="AA550" s="6"/>
    </row>
    <row r="551" ht="15.75" customHeight="1">
      <c r="A551" s="59"/>
      <c r="B551" s="59"/>
      <c r="C551" s="59"/>
      <c r="D551" s="59"/>
      <c r="E551" s="59"/>
      <c r="F551" s="59"/>
      <c r="G551" s="59"/>
      <c r="H551" s="59"/>
      <c r="I551" s="59"/>
      <c r="J551" s="59"/>
      <c r="K551" s="59"/>
      <c r="L551" s="59"/>
      <c r="M551" s="59"/>
      <c r="N551" s="59"/>
      <c r="O551" s="7"/>
      <c r="P551" s="6"/>
      <c r="Q551" s="6"/>
      <c r="R551" s="6"/>
      <c r="S551" s="6"/>
      <c r="T551" s="6"/>
      <c r="U551" s="6"/>
      <c r="V551" s="6"/>
      <c r="W551" s="6"/>
      <c r="X551" s="6"/>
      <c r="Y551" s="6"/>
      <c r="Z551" s="6"/>
      <c r="AA551" s="6"/>
    </row>
    <row r="552" ht="15.75" customHeight="1">
      <c r="A552" s="59"/>
      <c r="B552" s="59"/>
      <c r="C552" s="59"/>
      <c r="D552" s="59"/>
      <c r="E552" s="59"/>
      <c r="F552" s="59"/>
      <c r="G552" s="59"/>
      <c r="H552" s="59"/>
      <c r="I552" s="59"/>
      <c r="J552" s="59"/>
      <c r="K552" s="59"/>
      <c r="L552" s="59"/>
      <c r="M552" s="59"/>
      <c r="N552" s="59"/>
      <c r="O552" s="7"/>
      <c r="P552" s="6"/>
      <c r="Q552" s="6"/>
      <c r="R552" s="6"/>
      <c r="S552" s="6"/>
      <c r="T552" s="6"/>
      <c r="U552" s="6"/>
      <c r="V552" s="6"/>
      <c r="W552" s="6"/>
      <c r="X552" s="6"/>
      <c r="Y552" s="6"/>
      <c r="Z552" s="6"/>
      <c r="AA552" s="6"/>
    </row>
    <row r="553" ht="15.75" customHeight="1">
      <c r="A553" s="59"/>
      <c r="B553" s="59"/>
      <c r="C553" s="59"/>
      <c r="D553" s="59"/>
      <c r="E553" s="59"/>
      <c r="F553" s="59"/>
      <c r="G553" s="59"/>
      <c r="H553" s="59"/>
      <c r="I553" s="59"/>
      <c r="J553" s="59"/>
      <c r="K553" s="59"/>
      <c r="L553" s="59"/>
      <c r="M553" s="59"/>
      <c r="N553" s="59"/>
      <c r="O553" s="7"/>
      <c r="P553" s="6"/>
      <c r="Q553" s="6"/>
      <c r="R553" s="6"/>
      <c r="S553" s="6"/>
      <c r="T553" s="6"/>
      <c r="U553" s="6"/>
      <c r="V553" s="6"/>
      <c r="W553" s="6"/>
      <c r="X553" s="6"/>
      <c r="Y553" s="6"/>
      <c r="Z553" s="6"/>
      <c r="AA553" s="6"/>
    </row>
    <row r="554" ht="15.75" customHeight="1">
      <c r="A554" s="59"/>
      <c r="B554" s="59"/>
      <c r="C554" s="59"/>
      <c r="D554" s="59"/>
      <c r="E554" s="59"/>
      <c r="F554" s="59"/>
      <c r="G554" s="59"/>
      <c r="H554" s="59"/>
      <c r="I554" s="59"/>
      <c r="J554" s="59"/>
      <c r="K554" s="59"/>
      <c r="L554" s="59"/>
      <c r="M554" s="59"/>
      <c r="N554" s="59"/>
      <c r="O554" s="7"/>
      <c r="P554" s="6"/>
      <c r="Q554" s="6"/>
      <c r="R554" s="6"/>
      <c r="S554" s="6"/>
      <c r="T554" s="6"/>
      <c r="U554" s="6"/>
      <c r="V554" s="6"/>
      <c r="W554" s="6"/>
      <c r="X554" s="6"/>
      <c r="Y554" s="6"/>
      <c r="Z554" s="6"/>
      <c r="AA554" s="6"/>
    </row>
    <row r="555" ht="15.75" customHeight="1">
      <c r="A555" s="59"/>
      <c r="B555" s="59"/>
      <c r="C555" s="59"/>
      <c r="D555" s="59"/>
      <c r="E555" s="59"/>
      <c r="F555" s="59"/>
      <c r="G555" s="59"/>
      <c r="H555" s="59"/>
      <c r="I555" s="59"/>
      <c r="J555" s="59"/>
      <c r="K555" s="59"/>
      <c r="L555" s="59"/>
      <c r="M555" s="59"/>
      <c r="N555" s="59"/>
      <c r="O555" s="7"/>
      <c r="P555" s="6"/>
      <c r="Q555" s="6"/>
      <c r="R555" s="6"/>
      <c r="S555" s="6"/>
      <c r="T555" s="6"/>
      <c r="U555" s="6"/>
      <c r="V555" s="6"/>
      <c r="W555" s="6"/>
      <c r="X555" s="6"/>
      <c r="Y555" s="6"/>
      <c r="Z555" s="6"/>
      <c r="AA555" s="6"/>
    </row>
    <row r="556" ht="15.75" customHeight="1">
      <c r="A556" s="59"/>
      <c r="B556" s="59"/>
      <c r="C556" s="59"/>
      <c r="D556" s="59"/>
      <c r="E556" s="59"/>
      <c r="F556" s="59"/>
      <c r="G556" s="59"/>
      <c r="H556" s="59"/>
      <c r="I556" s="59"/>
      <c r="J556" s="59"/>
      <c r="K556" s="59"/>
      <c r="L556" s="59"/>
      <c r="M556" s="59"/>
      <c r="N556" s="59"/>
      <c r="O556" s="7"/>
      <c r="P556" s="6"/>
      <c r="Q556" s="6"/>
      <c r="R556" s="6"/>
      <c r="S556" s="6"/>
      <c r="T556" s="6"/>
      <c r="U556" s="6"/>
      <c r="V556" s="6"/>
      <c r="W556" s="6"/>
      <c r="X556" s="6"/>
      <c r="Y556" s="6"/>
      <c r="Z556" s="6"/>
      <c r="AA556" s="6"/>
    </row>
    <row r="557" ht="15.75" customHeight="1">
      <c r="A557" s="59"/>
      <c r="B557" s="59"/>
      <c r="C557" s="59"/>
      <c r="D557" s="59"/>
      <c r="E557" s="59"/>
      <c r="F557" s="59"/>
      <c r="G557" s="59"/>
      <c r="H557" s="59"/>
      <c r="I557" s="59"/>
      <c r="J557" s="59"/>
      <c r="K557" s="59"/>
      <c r="L557" s="59"/>
      <c r="M557" s="59"/>
      <c r="N557" s="59"/>
      <c r="O557" s="7"/>
      <c r="P557" s="6"/>
      <c r="Q557" s="6"/>
      <c r="R557" s="6"/>
      <c r="S557" s="6"/>
      <c r="T557" s="6"/>
      <c r="U557" s="6"/>
      <c r="V557" s="6"/>
      <c r="W557" s="6"/>
      <c r="X557" s="6"/>
      <c r="Y557" s="6"/>
      <c r="Z557" s="6"/>
      <c r="AA557" s="6"/>
    </row>
    <row r="558" ht="15.75" customHeight="1">
      <c r="A558" s="59"/>
      <c r="B558" s="59"/>
      <c r="C558" s="59"/>
      <c r="D558" s="59"/>
      <c r="E558" s="59"/>
      <c r="F558" s="59"/>
      <c r="G558" s="59"/>
      <c r="H558" s="59"/>
      <c r="I558" s="59"/>
      <c r="J558" s="59"/>
      <c r="K558" s="59"/>
      <c r="L558" s="59"/>
      <c r="M558" s="59"/>
      <c r="N558" s="59"/>
      <c r="O558" s="7"/>
      <c r="P558" s="6"/>
      <c r="Q558" s="6"/>
      <c r="R558" s="6"/>
      <c r="S558" s="6"/>
      <c r="T558" s="6"/>
      <c r="U558" s="6"/>
      <c r="V558" s="6"/>
      <c r="W558" s="6"/>
      <c r="X558" s="6"/>
      <c r="Y558" s="6"/>
      <c r="Z558" s="6"/>
      <c r="AA558" s="6"/>
    </row>
    <row r="559" ht="15.75" customHeight="1">
      <c r="A559" s="59"/>
      <c r="B559" s="59"/>
      <c r="C559" s="59"/>
      <c r="D559" s="59"/>
      <c r="E559" s="59"/>
      <c r="F559" s="59"/>
      <c r="G559" s="59"/>
      <c r="H559" s="59"/>
      <c r="I559" s="59"/>
      <c r="J559" s="59"/>
      <c r="K559" s="59"/>
      <c r="L559" s="59"/>
      <c r="M559" s="59"/>
      <c r="N559" s="59"/>
      <c r="O559" s="7"/>
      <c r="P559" s="6"/>
      <c r="Q559" s="6"/>
      <c r="R559" s="6"/>
      <c r="S559" s="6"/>
      <c r="T559" s="6"/>
      <c r="U559" s="6"/>
      <c r="V559" s="6"/>
      <c r="W559" s="6"/>
      <c r="X559" s="6"/>
      <c r="Y559" s="6"/>
      <c r="Z559" s="6"/>
      <c r="AA559" s="6"/>
    </row>
    <row r="560" ht="15.75" customHeight="1">
      <c r="A560" s="59"/>
      <c r="B560" s="59"/>
      <c r="C560" s="59"/>
      <c r="D560" s="59"/>
      <c r="E560" s="59"/>
      <c r="F560" s="59"/>
      <c r="G560" s="59"/>
      <c r="H560" s="59"/>
      <c r="I560" s="59"/>
      <c r="J560" s="59"/>
      <c r="K560" s="59"/>
      <c r="L560" s="59"/>
      <c r="M560" s="59"/>
      <c r="N560" s="59"/>
      <c r="O560" s="7"/>
      <c r="P560" s="6"/>
      <c r="Q560" s="6"/>
      <c r="R560" s="6"/>
      <c r="S560" s="6"/>
      <c r="T560" s="6"/>
      <c r="U560" s="6"/>
      <c r="V560" s="6"/>
      <c r="W560" s="6"/>
      <c r="X560" s="6"/>
      <c r="Y560" s="6"/>
      <c r="Z560" s="6"/>
      <c r="AA560" s="6"/>
    </row>
    <row r="561" ht="15.75" customHeight="1">
      <c r="A561" s="59"/>
      <c r="B561" s="59"/>
      <c r="C561" s="59"/>
      <c r="D561" s="59"/>
      <c r="E561" s="59"/>
      <c r="F561" s="59"/>
      <c r="G561" s="59"/>
      <c r="H561" s="59"/>
      <c r="I561" s="59"/>
      <c r="J561" s="59"/>
      <c r="K561" s="59"/>
      <c r="L561" s="59"/>
      <c r="M561" s="59"/>
      <c r="N561" s="59"/>
      <c r="O561" s="7"/>
      <c r="P561" s="6"/>
      <c r="Q561" s="6"/>
      <c r="R561" s="6"/>
      <c r="S561" s="6"/>
      <c r="T561" s="6"/>
      <c r="U561" s="6"/>
      <c r="V561" s="6"/>
      <c r="W561" s="6"/>
      <c r="X561" s="6"/>
      <c r="Y561" s="6"/>
      <c r="Z561" s="6"/>
      <c r="AA561" s="6"/>
    </row>
    <row r="562" ht="15.75" customHeight="1">
      <c r="A562" s="59"/>
      <c r="B562" s="59"/>
      <c r="C562" s="59"/>
      <c r="D562" s="59"/>
      <c r="E562" s="59"/>
      <c r="F562" s="59"/>
      <c r="G562" s="59"/>
      <c r="H562" s="59"/>
      <c r="I562" s="59"/>
      <c r="J562" s="59"/>
      <c r="K562" s="59"/>
      <c r="L562" s="59"/>
      <c r="M562" s="59"/>
      <c r="N562" s="59"/>
      <c r="O562" s="7"/>
      <c r="P562" s="6"/>
      <c r="Q562" s="6"/>
      <c r="R562" s="6"/>
      <c r="S562" s="6"/>
      <c r="T562" s="6"/>
      <c r="U562" s="6"/>
      <c r="V562" s="6"/>
      <c r="W562" s="6"/>
      <c r="X562" s="6"/>
      <c r="Y562" s="6"/>
      <c r="Z562" s="6"/>
      <c r="AA562" s="6"/>
    </row>
    <row r="563" ht="15.75" customHeight="1">
      <c r="A563" s="59"/>
      <c r="B563" s="59"/>
      <c r="C563" s="59"/>
      <c r="D563" s="59"/>
      <c r="E563" s="59"/>
      <c r="F563" s="59"/>
      <c r="G563" s="59"/>
      <c r="H563" s="59"/>
      <c r="I563" s="59"/>
      <c r="J563" s="59"/>
      <c r="K563" s="59"/>
      <c r="L563" s="59"/>
      <c r="M563" s="59"/>
      <c r="N563" s="59"/>
      <c r="O563" s="7"/>
      <c r="P563" s="6"/>
      <c r="Q563" s="6"/>
      <c r="R563" s="6"/>
      <c r="S563" s="6"/>
      <c r="T563" s="6"/>
      <c r="U563" s="6"/>
      <c r="V563" s="6"/>
      <c r="W563" s="6"/>
      <c r="X563" s="6"/>
      <c r="Y563" s="6"/>
      <c r="Z563" s="6"/>
      <c r="AA563" s="6"/>
    </row>
    <row r="564" ht="15.75" customHeight="1">
      <c r="A564" s="59"/>
      <c r="B564" s="59"/>
      <c r="C564" s="59"/>
      <c r="D564" s="59"/>
      <c r="E564" s="59"/>
      <c r="F564" s="59"/>
      <c r="G564" s="59"/>
      <c r="H564" s="59"/>
      <c r="I564" s="59"/>
      <c r="J564" s="59"/>
      <c r="K564" s="59"/>
      <c r="L564" s="59"/>
      <c r="M564" s="59"/>
      <c r="N564" s="59"/>
      <c r="O564" s="7"/>
      <c r="P564" s="6"/>
      <c r="Q564" s="6"/>
      <c r="R564" s="6"/>
      <c r="S564" s="6"/>
      <c r="T564" s="6"/>
      <c r="U564" s="6"/>
      <c r="V564" s="6"/>
      <c r="W564" s="6"/>
      <c r="X564" s="6"/>
      <c r="Y564" s="6"/>
      <c r="Z564" s="6"/>
      <c r="AA564" s="6"/>
    </row>
    <row r="565" ht="15.75" customHeight="1">
      <c r="A565" s="59"/>
      <c r="B565" s="59"/>
      <c r="C565" s="59"/>
      <c r="D565" s="59"/>
      <c r="E565" s="59"/>
      <c r="F565" s="59"/>
      <c r="G565" s="59"/>
      <c r="H565" s="59"/>
      <c r="I565" s="59"/>
      <c r="J565" s="59"/>
      <c r="K565" s="59"/>
      <c r="L565" s="59"/>
      <c r="M565" s="59"/>
      <c r="N565" s="59"/>
      <c r="O565" s="7"/>
      <c r="P565" s="6"/>
      <c r="Q565" s="6"/>
      <c r="R565" s="6"/>
      <c r="S565" s="6"/>
      <c r="T565" s="6"/>
      <c r="U565" s="6"/>
      <c r="V565" s="6"/>
      <c r="W565" s="6"/>
      <c r="X565" s="6"/>
      <c r="Y565" s="6"/>
      <c r="Z565" s="6"/>
      <c r="AA565" s="6"/>
    </row>
    <row r="566" ht="15.75" customHeight="1">
      <c r="A566" s="59"/>
      <c r="B566" s="59"/>
      <c r="C566" s="59"/>
      <c r="D566" s="59"/>
      <c r="E566" s="59"/>
      <c r="F566" s="59"/>
      <c r="G566" s="59"/>
      <c r="H566" s="59"/>
      <c r="I566" s="59"/>
      <c r="J566" s="59"/>
      <c r="K566" s="59"/>
      <c r="L566" s="59"/>
      <c r="M566" s="59"/>
      <c r="N566" s="59"/>
      <c r="O566" s="7"/>
      <c r="P566" s="6"/>
      <c r="Q566" s="6"/>
      <c r="R566" s="6"/>
      <c r="S566" s="6"/>
      <c r="T566" s="6"/>
      <c r="U566" s="6"/>
      <c r="V566" s="6"/>
      <c r="W566" s="6"/>
      <c r="X566" s="6"/>
      <c r="Y566" s="6"/>
      <c r="Z566" s="6"/>
      <c r="AA566" s="6"/>
    </row>
    <row r="567" ht="15.75" customHeight="1">
      <c r="A567" s="59"/>
      <c r="B567" s="59"/>
      <c r="C567" s="59"/>
      <c r="D567" s="59"/>
      <c r="E567" s="59"/>
      <c r="F567" s="59"/>
      <c r="G567" s="59"/>
      <c r="H567" s="59"/>
      <c r="I567" s="59"/>
      <c r="J567" s="59"/>
      <c r="K567" s="59"/>
      <c r="L567" s="59"/>
      <c r="M567" s="59"/>
      <c r="N567" s="59"/>
      <c r="O567" s="7"/>
      <c r="P567" s="6"/>
      <c r="Q567" s="6"/>
      <c r="R567" s="6"/>
      <c r="S567" s="6"/>
      <c r="T567" s="6"/>
      <c r="U567" s="6"/>
      <c r="V567" s="6"/>
      <c r="W567" s="6"/>
      <c r="X567" s="6"/>
      <c r="Y567" s="6"/>
      <c r="Z567" s="6"/>
      <c r="AA567" s="6"/>
    </row>
    <row r="568" ht="15.75" customHeight="1">
      <c r="A568" s="59"/>
      <c r="B568" s="59"/>
      <c r="C568" s="59"/>
      <c r="D568" s="59"/>
      <c r="E568" s="59"/>
      <c r="F568" s="59"/>
      <c r="G568" s="59"/>
      <c r="H568" s="59"/>
      <c r="I568" s="59"/>
      <c r="J568" s="59"/>
      <c r="K568" s="59"/>
      <c r="L568" s="59"/>
      <c r="M568" s="59"/>
      <c r="N568" s="59"/>
      <c r="O568" s="7"/>
      <c r="P568" s="6"/>
      <c r="Q568" s="6"/>
      <c r="R568" s="6"/>
      <c r="S568" s="6"/>
      <c r="T568" s="6"/>
      <c r="U568" s="6"/>
      <c r="V568" s="6"/>
      <c r="W568" s="6"/>
      <c r="X568" s="6"/>
      <c r="Y568" s="6"/>
      <c r="Z568" s="6"/>
      <c r="AA568" s="6"/>
    </row>
    <row r="569" ht="15.75" customHeight="1">
      <c r="A569" s="59"/>
      <c r="B569" s="59"/>
      <c r="C569" s="59"/>
      <c r="D569" s="59"/>
      <c r="E569" s="59"/>
      <c r="F569" s="59"/>
      <c r="G569" s="59"/>
      <c r="H569" s="59"/>
      <c r="I569" s="59"/>
      <c r="J569" s="59"/>
      <c r="K569" s="59"/>
      <c r="L569" s="59"/>
      <c r="M569" s="59"/>
      <c r="N569" s="59"/>
      <c r="O569" s="7"/>
      <c r="P569" s="6"/>
      <c r="Q569" s="6"/>
      <c r="R569" s="6"/>
      <c r="S569" s="6"/>
      <c r="T569" s="6"/>
      <c r="U569" s="6"/>
      <c r="V569" s="6"/>
      <c r="W569" s="6"/>
      <c r="X569" s="6"/>
      <c r="Y569" s="6"/>
      <c r="Z569" s="6"/>
      <c r="AA569" s="6"/>
    </row>
    <row r="570" ht="15.75" customHeight="1">
      <c r="A570" s="59"/>
      <c r="B570" s="59"/>
      <c r="C570" s="59"/>
      <c r="D570" s="59"/>
      <c r="E570" s="59"/>
      <c r="F570" s="59"/>
      <c r="G570" s="59"/>
      <c r="H570" s="59"/>
      <c r="I570" s="59"/>
      <c r="J570" s="59"/>
      <c r="K570" s="59"/>
      <c r="L570" s="59"/>
      <c r="M570" s="59"/>
      <c r="N570" s="59"/>
      <c r="O570" s="7"/>
      <c r="P570" s="6"/>
      <c r="Q570" s="6"/>
      <c r="R570" s="6"/>
      <c r="S570" s="6"/>
      <c r="T570" s="6"/>
      <c r="U570" s="6"/>
      <c r="V570" s="6"/>
      <c r="W570" s="6"/>
      <c r="X570" s="6"/>
      <c r="Y570" s="6"/>
      <c r="Z570" s="6"/>
      <c r="AA570" s="6"/>
    </row>
    <row r="571" ht="15.75" customHeight="1">
      <c r="A571" s="59"/>
      <c r="B571" s="59"/>
      <c r="C571" s="59"/>
      <c r="D571" s="59"/>
      <c r="E571" s="59"/>
      <c r="F571" s="59"/>
      <c r="G571" s="59"/>
      <c r="H571" s="59"/>
      <c r="I571" s="59"/>
      <c r="J571" s="59"/>
      <c r="K571" s="59"/>
      <c r="L571" s="59"/>
      <c r="M571" s="59"/>
      <c r="N571" s="59"/>
      <c r="O571" s="7"/>
      <c r="P571" s="6"/>
      <c r="Q571" s="6"/>
      <c r="R571" s="6"/>
      <c r="S571" s="6"/>
      <c r="T571" s="6"/>
      <c r="U571" s="6"/>
      <c r="V571" s="6"/>
      <c r="W571" s="6"/>
      <c r="X571" s="6"/>
      <c r="Y571" s="6"/>
      <c r="Z571" s="6"/>
      <c r="AA571" s="6"/>
    </row>
    <row r="572" ht="15.75" customHeight="1">
      <c r="A572" s="59"/>
      <c r="B572" s="59"/>
      <c r="C572" s="59"/>
      <c r="D572" s="59"/>
      <c r="E572" s="59"/>
      <c r="F572" s="59"/>
      <c r="G572" s="59"/>
      <c r="H572" s="59"/>
      <c r="I572" s="59"/>
      <c r="J572" s="59"/>
      <c r="K572" s="59"/>
      <c r="L572" s="59"/>
      <c r="M572" s="59"/>
      <c r="N572" s="59"/>
      <c r="O572" s="7"/>
      <c r="P572" s="6"/>
      <c r="Q572" s="6"/>
      <c r="R572" s="6"/>
      <c r="S572" s="6"/>
      <c r="T572" s="6"/>
      <c r="U572" s="6"/>
      <c r="V572" s="6"/>
      <c r="W572" s="6"/>
      <c r="X572" s="6"/>
      <c r="Y572" s="6"/>
      <c r="Z572" s="6"/>
      <c r="AA572" s="6"/>
    </row>
    <row r="573" ht="15.75" customHeight="1">
      <c r="A573" s="59"/>
      <c r="B573" s="59"/>
      <c r="C573" s="59"/>
      <c r="D573" s="59"/>
      <c r="E573" s="59"/>
      <c r="F573" s="59"/>
      <c r="G573" s="59"/>
      <c r="H573" s="59"/>
      <c r="I573" s="59"/>
      <c r="J573" s="59"/>
      <c r="K573" s="59"/>
      <c r="L573" s="59"/>
      <c r="M573" s="59"/>
      <c r="N573" s="59"/>
      <c r="O573" s="7"/>
      <c r="P573" s="6"/>
      <c r="Q573" s="6"/>
      <c r="R573" s="6"/>
      <c r="S573" s="6"/>
      <c r="T573" s="6"/>
      <c r="U573" s="6"/>
      <c r="V573" s="6"/>
      <c r="W573" s="6"/>
      <c r="X573" s="6"/>
      <c r="Y573" s="6"/>
      <c r="Z573" s="6"/>
      <c r="AA573" s="6"/>
    </row>
    <row r="574" ht="15.75" customHeight="1">
      <c r="A574" s="59"/>
      <c r="B574" s="59"/>
      <c r="C574" s="59"/>
      <c r="D574" s="59"/>
      <c r="E574" s="59"/>
      <c r="F574" s="59"/>
      <c r="G574" s="59"/>
      <c r="H574" s="59"/>
      <c r="I574" s="59"/>
      <c r="J574" s="59"/>
      <c r="K574" s="59"/>
      <c r="L574" s="59"/>
      <c r="M574" s="59"/>
      <c r="N574" s="59"/>
      <c r="O574" s="7"/>
      <c r="P574" s="6"/>
      <c r="Q574" s="6"/>
      <c r="R574" s="6"/>
      <c r="S574" s="6"/>
      <c r="T574" s="6"/>
      <c r="U574" s="6"/>
      <c r="V574" s="6"/>
      <c r="W574" s="6"/>
      <c r="X574" s="6"/>
      <c r="Y574" s="6"/>
      <c r="Z574" s="6"/>
      <c r="AA574" s="6"/>
    </row>
    <row r="575" ht="15.75" customHeight="1">
      <c r="A575" s="59"/>
      <c r="B575" s="59"/>
      <c r="C575" s="59"/>
      <c r="D575" s="59"/>
      <c r="E575" s="59"/>
      <c r="F575" s="59"/>
      <c r="G575" s="59"/>
      <c r="H575" s="59"/>
      <c r="I575" s="59"/>
      <c r="J575" s="59"/>
      <c r="K575" s="59"/>
      <c r="L575" s="59"/>
      <c r="M575" s="59"/>
      <c r="N575" s="59"/>
      <c r="O575" s="7"/>
      <c r="P575" s="6"/>
      <c r="Q575" s="6"/>
      <c r="R575" s="6"/>
      <c r="S575" s="6"/>
      <c r="T575" s="6"/>
      <c r="U575" s="6"/>
      <c r="V575" s="6"/>
      <c r="W575" s="6"/>
      <c r="X575" s="6"/>
      <c r="Y575" s="6"/>
      <c r="Z575" s="6"/>
      <c r="AA575" s="6"/>
    </row>
    <row r="576" ht="15.75" customHeight="1">
      <c r="A576" s="59"/>
      <c r="B576" s="59"/>
      <c r="C576" s="59"/>
      <c r="D576" s="59"/>
      <c r="E576" s="59"/>
      <c r="F576" s="59"/>
      <c r="G576" s="59"/>
      <c r="H576" s="59"/>
      <c r="I576" s="59"/>
      <c r="J576" s="59"/>
      <c r="K576" s="59"/>
      <c r="L576" s="59"/>
      <c r="M576" s="59"/>
      <c r="N576" s="59"/>
      <c r="O576" s="7"/>
      <c r="P576" s="6"/>
      <c r="Q576" s="6"/>
      <c r="R576" s="6"/>
      <c r="S576" s="6"/>
      <c r="T576" s="6"/>
      <c r="U576" s="6"/>
      <c r="V576" s="6"/>
      <c r="W576" s="6"/>
      <c r="X576" s="6"/>
      <c r="Y576" s="6"/>
      <c r="Z576" s="6"/>
      <c r="AA576" s="6"/>
    </row>
    <row r="577" ht="15.75" customHeight="1">
      <c r="A577" s="59"/>
      <c r="B577" s="59"/>
      <c r="C577" s="59"/>
      <c r="D577" s="59"/>
      <c r="E577" s="59"/>
      <c r="F577" s="59"/>
      <c r="G577" s="59"/>
      <c r="H577" s="59"/>
      <c r="I577" s="59"/>
      <c r="J577" s="59"/>
      <c r="K577" s="59"/>
      <c r="L577" s="59"/>
      <c r="M577" s="59"/>
      <c r="N577" s="59"/>
      <c r="O577" s="7"/>
      <c r="P577" s="6"/>
      <c r="Q577" s="6"/>
      <c r="R577" s="6"/>
      <c r="S577" s="6"/>
      <c r="T577" s="6"/>
      <c r="U577" s="6"/>
      <c r="V577" s="6"/>
      <c r="W577" s="6"/>
      <c r="X577" s="6"/>
      <c r="Y577" s="6"/>
      <c r="Z577" s="6"/>
      <c r="AA577" s="6"/>
    </row>
    <row r="578" ht="15.75" customHeight="1">
      <c r="A578" s="59"/>
      <c r="B578" s="59"/>
      <c r="C578" s="59"/>
      <c r="D578" s="59"/>
      <c r="E578" s="59"/>
      <c r="F578" s="59"/>
      <c r="G578" s="59"/>
      <c r="H578" s="59"/>
      <c r="I578" s="59"/>
      <c r="J578" s="59"/>
      <c r="K578" s="59"/>
      <c r="L578" s="59"/>
      <c r="M578" s="59"/>
      <c r="N578" s="59"/>
      <c r="O578" s="7"/>
      <c r="P578" s="6"/>
      <c r="Q578" s="6"/>
      <c r="R578" s="6"/>
      <c r="S578" s="6"/>
      <c r="T578" s="6"/>
      <c r="U578" s="6"/>
      <c r="V578" s="6"/>
      <c r="W578" s="6"/>
      <c r="X578" s="6"/>
      <c r="Y578" s="6"/>
      <c r="Z578" s="6"/>
      <c r="AA578" s="6"/>
    </row>
    <row r="579" ht="15.75" customHeight="1">
      <c r="A579" s="59"/>
      <c r="B579" s="59"/>
      <c r="C579" s="59"/>
      <c r="D579" s="59"/>
      <c r="E579" s="59"/>
      <c r="F579" s="59"/>
      <c r="G579" s="59"/>
      <c r="H579" s="59"/>
      <c r="I579" s="59"/>
      <c r="J579" s="59"/>
      <c r="K579" s="59"/>
      <c r="L579" s="59"/>
      <c r="M579" s="59"/>
      <c r="N579" s="59"/>
      <c r="O579" s="7"/>
      <c r="P579" s="6"/>
      <c r="Q579" s="6"/>
      <c r="R579" s="6"/>
      <c r="S579" s="6"/>
      <c r="T579" s="6"/>
      <c r="U579" s="6"/>
      <c r="V579" s="6"/>
      <c r="W579" s="6"/>
      <c r="X579" s="6"/>
      <c r="Y579" s="6"/>
      <c r="Z579" s="6"/>
      <c r="AA579" s="6"/>
    </row>
    <row r="580" ht="15.75" customHeight="1">
      <c r="A580" s="59"/>
      <c r="B580" s="59"/>
      <c r="C580" s="59"/>
      <c r="D580" s="59"/>
      <c r="E580" s="59"/>
      <c r="F580" s="59"/>
      <c r="G580" s="59"/>
      <c r="H580" s="59"/>
      <c r="I580" s="59"/>
      <c r="J580" s="59"/>
      <c r="K580" s="59"/>
      <c r="L580" s="59"/>
      <c r="M580" s="59"/>
      <c r="N580" s="59"/>
      <c r="O580" s="7"/>
      <c r="P580" s="6"/>
      <c r="Q580" s="6"/>
      <c r="R580" s="6"/>
      <c r="S580" s="6"/>
      <c r="T580" s="6"/>
      <c r="U580" s="6"/>
      <c r="V580" s="6"/>
      <c r="W580" s="6"/>
      <c r="X580" s="6"/>
      <c r="Y580" s="6"/>
      <c r="Z580" s="6"/>
      <c r="AA580" s="6"/>
    </row>
    <row r="581" ht="15.75" customHeight="1">
      <c r="A581" s="59"/>
      <c r="B581" s="59"/>
      <c r="C581" s="59"/>
      <c r="D581" s="59"/>
      <c r="E581" s="59"/>
      <c r="F581" s="59"/>
      <c r="G581" s="59"/>
      <c r="H581" s="59"/>
      <c r="I581" s="59"/>
      <c r="J581" s="59"/>
      <c r="K581" s="59"/>
      <c r="L581" s="59"/>
      <c r="M581" s="59"/>
      <c r="N581" s="59"/>
      <c r="O581" s="7"/>
      <c r="P581" s="6"/>
      <c r="Q581" s="6"/>
      <c r="R581" s="6"/>
      <c r="S581" s="6"/>
      <c r="T581" s="6"/>
      <c r="U581" s="6"/>
      <c r="V581" s="6"/>
      <c r="W581" s="6"/>
      <c r="X581" s="6"/>
      <c r="Y581" s="6"/>
      <c r="Z581" s="6"/>
      <c r="AA581" s="6"/>
    </row>
    <row r="582" ht="15.75" customHeight="1">
      <c r="A582" s="59"/>
      <c r="B582" s="59"/>
      <c r="C582" s="59"/>
      <c r="D582" s="59"/>
      <c r="E582" s="59"/>
      <c r="F582" s="59"/>
      <c r="G582" s="59"/>
      <c r="H582" s="59"/>
      <c r="I582" s="59"/>
      <c r="J582" s="59"/>
      <c r="K582" s="59"/>
      <c r="L582" s="59"/>
      <c r="M582" s="59"/>
      <c r="N582" s="59"/>
      <c r="O582" s="7"/>
      <c r="P582" s="6"/>
      <c r="Q582" s="6"/>
      <c r="R582" s="6"/>
      <c r="S582" s="6"/>
      <c r="T582" s="6"/>
      <c r="U582" s="6"/>
      <c r="V582" s="6"/>
      <c r="W582" s="6"/>
      <c r="X582" s="6"/>
      <c r="Y582" s="6"/>
      <c r="Z582" s="6"/>
      <c r="AA582" s="6"/>
    </row>
    <row r="583" ht="15.75" customHeight="1">
      <c r="A583" s="59"/>
      <c r="B583" s="59"/>
      <c r="C583" s="59"/>
      <c r="D583" s="59"/>
      <c r="E583" s="59"/>
      <c r="F583" s="59"/>
      <c r="G583" s="59"/>
      <c r="H583" s="59"/>
      <c r="I583" s="59"/>
      <c r="J583" s="59"/>
      <c r="K583" s="59"/>
      <c r="L583" s="59"/>
      <c r="M583" s="59"/>
      <c r="N583" s="59"/>
      <c r="O583" s="7"/>
      <c r="P583" s="6"/>
      <c r="Q583" s="6"/>
      <c r="R583" s="6"/>
      <c r="S583" s="6"/>
      <c r="T583" s="6"/>
      <c r="U583" s="6"/>
      <c r="V583" s="6"/>
      <c r="W583" s="6"/>
      <c r="X583" s="6"/>
      <c r="Y583" s="6"/>
      <c r="Z583" s="6"/>
      <c r="AA583" s="6"/>
    </row>
    <row r="584" ht="15.75" customHeight="1">
      <c r="A584" s="59"/>
      <c r="B584" s="59"/>
      <c r="C584" s="59"/>
      <c r="D584" s="59"/>
      <c r="E584" s="59"/>
      <c r="F584" s="59"/>
      <c r="G584" s="59"/>
      <c r="H584" s="59"/>
      <c r="I584" s="59"/>
      <c r="J584" s="59"/>
      <c r="K584" s="59"/>
      <c r="L584" s="59"/>
      <c r="M584" s="59"/>
      <c r="N584" s="59"/>
      <c r="O584" s="7"/>
      <c r="P584" s="6"/>
      <c r="Q584" s="6"/>
      <c r="R584" s="6"/>
      <c r="S584" s="6"/>
      <c r="T584" s="6"/>
      <c r="U584" s="6"/>
      <c r="V584" s="6"/>
      <c r="W584" s="6"/>
      <c r="X584" s="6"/>
      <c r="Y584" s="6"/>
      <c r="Z584" s="6"/>
      <c r="AA584" s="6"/>
    </row>
    <row r="585" ht="15.75" customHeight="1">
      <c r="A585" s="59"/>
      <c r="B585" s="59"/>
      <c r="C585" s="59"/>
      <c r="D585" s="59"/>
      <c r="E585" s="59"/>
      <c r="F585" s="59"/>
      <c r="G585" s="59"/>
      <c r="H585" s="59"/>
      <c r="I585" s="59"/>
      <c r="J585" s="59"/>
      <c r="K585" s="59"/>
      <c r="L585" s="59"/>
      <c r="M585" s="59"/>
      <c r="N585" s="59"/>
      <c r="O585" s="7"/>
      <c r="P585" s="6"/>
      <c r="Q585" s="6"/>
      <c r="R585" s="6"/>
      <c r="S585" s="6"/>
      <c r="T585" s="6"/>
      <c r="U585" s="6"/>
      <c r="V585" s="6"/>
      <c r="W585" s="6"/>
      <c r="X585" s="6"/>
      <c r="Y585" s="6"/>
      <c r="Z585" s="6"/>
      <c r="AA585" s="6"/>
    </row>
    <row r="586" ht="15.75" customHeight="1">
      <c r="A586" s="59"/>
      <c r="B586" s="59"/>
      <c r="C586" s="59"/>
      <c r="D586" s="59"/>
      <c r="E586" s="59"/>
      <c r="F586" s="59"/>
      <c r="G586" s="59"/>
      <c r="H586" s="59"/>
      <c r="I586" s="59"/>
      <c r="J586" s="59"/>
      <c r="K586" s="59"/>
      <c r="L586" s="59"/>
      <c r="M586" s="59"/>
      <c r="N586" s="59"/>
      <c r="O586" s="7"/>
      <c r="P586" s="6"/>
      <c r="Q586" s="6"/>
      <c r="R586" s="6"/>
      <c r="S586" s="6"/>
      <c r="T586" s="6"/>
      <c r="U586" s="6"/>
      <c r="V586" s="6"/>
      <c r="W586" s="6"/>
      <c r="X586" s="6"/>
      <c r="Y586" s="6"/>
      <c r="Z586" s="6"/>
      <c r="AA586" s="6"/>
    </row>
    <row r="587" ht="15.75" customHeight="1">
      <c r="A587" s="59"/>
      <c r="B587" s="59"/>
      <c r="C587" s="59"/>
      <c r="D587" s="59"/>
      <c r="E587" s="59"/>
      <c r="F587" s="59"/>
      <c r="G587" s="59"/>
      <c r="H587" s="59"/>
      <c r="I587" s="59"/>
      <c r="J587" s="59"/>
      <c r="K587" s="59"/>
      <c r="L587" s="59"/>
      <c r="M587" s="59"/>
      <c r="N587" s="59"/>
      <c r="O587" s="7"/>
      <c r="P587" s="6"/>
      <c r="Q587" s="6"/>
      <c r="R587" s="6"/>
      <c r="S587" s="6"/>
      <c r="T587" s="6"/>
      <c r="U587" s="6"/>
      <c r="V587" s="6"/>
      <c r="W587" s="6"/>
      <c r="X587" s="6"/>
      <c r="Y587" s="6"/>
      <c r="Z587" s="6"/>
      <c r="AA587" s="6"/>
    </row>
    <row r="588" ht="15.75" customHeight="1">
      <c r="A588" s="59"/>
      <c r="B588" s="59"/>
      <c r="C588" s="59"/>
      <c r="D588" s="59"/>
      <c r="E588" s="59"/>
      <c r="F588" s="59"/>
      <c r="G588" s="59"/>
      <c r="H588" s="59"/>
      <c r="I588" s="59"/>
      <c r="J588" s="59"/>
      <c r="K588" s="59"/>
      <c r="L588" s="59"/>
      <c r="M588" s="59"/>
      <c r="N588" s="59"/>
      <c r="O588" s="7"/>
      <c r="P588" s="6"/>
      <c r="Q588" s="6"/>
      <c r="R588" s="6"/>
      <c r="S588" s="6"/>
      <c r="T588" s="6"/>
      <c r="U588" s="6"/>
      <c r="V588" s="6"/>
      <c r="W588" s="6"/>
      <c r="X588" s="6"/>
      <c r="Y588" s="6"/>
      <c r="Z588" s="6"/>
      <c r="AA588" s="6"/>
    </row>
    <row r="589" ht="15.75" customHeight="1">
      <c r="A589" s="59"/>
      <c r="B589" s="59"/>
      <c r="C589" s="59"/>
      <c r="D589" s="59"/>
      <c r="E589" s="59"/>
      <c r="F589" s="59"/>
      <c r="G589" s="59"/>
      <c r="H589" s="59"/>
      <c r="I589" s="59"/>
      <c r="J589" s="59"/>
      <c r="K589" s="59"/>
      <c r="L589" s="59"/>
      <c r="M589" s="59"/>
      <c r="N589" s="59"/>
      <c r="O589" s="7"/>
      <c r="P589" s="6"/>
      <c r="Q589" s="6"/>
      <c r="R589" s="6"/>
      <c r="S589" s="6"/>
      <c r="T589" s="6"/>
      <c r="U589" s="6"/>
      <c r="V589" s="6"/>
      <c r="W589" s="6"/>
      <c r="X589" s="6"/>
      <c r="Y589" s="6"/>
      <c r="Z589" s="6"/>
      <c r="AA589" s="6"/>
    </row>
    <row r="590" ht="15.75" customHeight="1">
      <c r="A590" s="59"/>
      <c r="B590" s="59"/>
      <c r="C590" s="59"/>
      <c r="D590" s="59"/>
      <c r="E590" s="59"/>
      <c r="F590" s="59"/>
      <c r="G590" s="59"/>
      <c r="H590" s="59"/>
      <c r="I590" s="59"/>
      <c r="J590" s="59"/>
      <c r="K590" s="59"/>
      <c r="L590" s="59"/>
      <c r="M590" s="59"/>
      <c r="N590" s="59"/>
      <c r="O590" s="7"/>
      <c r="P590" s="6"/>
      <c r="Q590" s="6"/>
      <c r="R590" s="6"/>
      <c r="S590" s="6"/>
      <c r="T590" s="6"/>
      <c r="U590" s="6"/>
      <c r="V590" s="6"/>
      <c r="W590" s="6"/>
      <c r="X590" s="6"/>
      <c r="Y590" s="6"/>
      <c r="Z590" s="6"/>
      <c r="AA590" s="6"/>
    </row>
    <row r="591" ht="15.75" customHeight="1">
      <c r="A591" s="59"/>
      <c r="B591" s="59"/>
      <c r="C591" s="59"/>
      <c r="D591" s="59"/>
      <c r="E591" s="59"/>
      <c r="F591" s="59"/>
      <c r="G591" s="59"/>
      <c r="H591" s="59"/>
      <c r="I591" s="59"/>
      <c r="J591" s="59"/>
      <c r="K591" s="59"/>
      <c r="L591" s="59"/>
      <c r="M591" s="59"/>
      <c r="N591" s="59"/>
      <c r="O591" s="7"/>
      <c r="P591" s="6"/>
      <c r="Q591" s="6"/>
      <c r="R591" s="6"/>
      <c r="S591" s="6"/>
      <c r="T591" s="6"/>
      <c r="U591" s="6"/>
      <c r="V591" s="6"/>
      <c r="W591" s="6"/>
      <c r="X591" s="6"/>
      <c r="Y591" s="6"/>
      <c r="Z591" s="6"/>
      <c r="AA591" s="6"/>
    </row>
    <row r="592" ht="15.75" customHeight="1">
      <c r="A592" s="59"/>
      <c r="B592" s="59"/>
      <c r="C592" s="59"/>
      <c r="D592" s="59"/>
      <c r="E592" s="59"/>
      <c r="F592" s="59"/>
      <c r="G592" s="59"/>
      <c r="H592" s="59"/>
      <c r="I592" s="59"/>
      <c r="J592" s="59"/>
      <c r="K592" s="59"/>
      <c r="L592" s="59"/>
      <c r="M592" s="59"/>
      <c r="N592" s="59"/>
      <c r="O592" s="7"/>
      <c r="P592" s="6"/>
      <c r="Q592" s="6"/>
      <c r="R592" s="6"/>
      <c r="S592" s="6"/>
      <c r="T592" s="6"/>
      <c r="U592" s="6"/>
      <c r="V592" s="6"/>
      <c r="W592" s="6"/>
      <c r="X592" s="6"/>
      <c r="Y592" s="6"/>
      <c r="Z592" s="6"/>
      <c r="AA592" s="6"/>
    </row>
    <row r="593" ht="15.75" customHeight="1">
      <c r="A593" s="59"/>
      <c r="B593" s="59"/>
      <c r="C593" s="59"/>
      <c r="D593" s="59"/>
      <c r="E593" s="59"/>
      <c r="F593" s="59"/>
      <c r="G593" s="59"/>
      <c r="H593" s="59"/>
      <c r="I593" s="59"/>
      <c r="J593" s="59"/>
      <c r="K593" s="59"/>
      <c r="L593" s="59"/>
      <c r="M593" s="59"/>
      <c r="N593" s="59"/>
      <c r="O593" s="7"/>
      <c r="P593" s="6"/>
      <c r="Q593" s="6"/>
      <c r="R593" s="6"/>
      <c r="S593" s="6"/>
      <c r="T593" s="6"/>
      <c r="U593" s="6"/>
      <c r="V593" s="6"/>
      <c r="W593" s="6"/>
      <c r="X593" s="6"/>
      <c r="Y593" s="6"/>
      <c r="Z593" s="6"/>
      <c r="AA593" s="6"/>
    </row>
    <row r="594" ht="15.75" customHeight="1">
      <c r="A594" s="59"/>
      <c r="B594" s="59"/>
      <c r="C594" s="59"/>
      <c r="D594" s="59"/>
      <c r="E594" s="59"/>
      <c r="F594" s="59"/>
      <c r="G594" s="59"/>
      <c r="H594" s="59"/>
      <c r="I594" s="59"/>
      <c r="J594" s="59"/>
      <c r="K594" s="59"/>
      <c r="L594" s="59"/>
      <c r="M594" s="59"/>
      <c r="N594" s="59"/>
      <c r="O594" s="7"/>
      <c r="P594" s="6"/>
      <c r="Q594" s="6"/>
      <c r="R594" s="6"/>
      <c r="S594" s="6"/>
      <c r="T594" s="6"/>
      <c r="U594" s="6"/>
      <c r="V594" s="6"/>
      <c r="W594" s="6"/>
      <c r="X594" s="6"/>
      <c r="Y594" s="6"/>
      <c r="Z594" s="6"/>
      <c r="AA594" s="6"/>
    </row>
    <row r="595" ht="15.75" customHeight="1">
      <c r="A595" s="59"/>
      <c r="B595" s="59"/>
      <c r="C595" s="59"/>
      <c r="D595" s="59"/>
      <c r="E595" s="59"/>
      <c r="F595" s="59"/>
      <c r="G595" s="59"/>
      <c r="H595" s="59"/>
      <c r="I595" s="59"/>
      <c r="J595" s="59"/>
      <c r="K595" s="59"/>
      <c r="L595" s="59"/>
      <c r="M595" s="59"/>
      <c r="N595" s="59"/>
      <c r="O595" s="7"/>
      <c r="P595" s="6"/>
      <c r="Q595" s="6"/>
      <c r="R595" s="6"/>
      <c r="S595" s="6"/>
      <c r="T595" s="6"/>
      <c r="U595" s="6"/>
      <c r="V595" s="6"/>
      <c r="W595" s="6"/>
      <c r="X595" s="6"/>
      <c r="Y595" s="6"/>
      <c r="Z595" s="6"/>
      <c r="AA595" s="6"/>
    </row>
    <row r="596" ht="15.75" customHeight="1">
      <c r="A596" s="59"/>
      <c r="B596" s="59"/>
      <c r="C596" s="59"/>
      <c r="D596" s="59"/>
      <c r="E596" s="59"/>
      <c r="F596" s="59"/>
      <c r="G596" s="59"/>
      <c r="H596" s="59"/>
      <c r="I596" s="59"/>
      <c r="J596" s="59"/>
      <c r="K596" s="59"/>
      <c r="L596" s="59"/>
      <c r="M596" s="59"/>
      <c r="N596" s="59"/>
      <c r="O596" s="7"/>
      <c r="P596" s="6"/>
      <c r="Q596" s="6"/>
      <c r="R596" s="6"/>
      <c r="S596" s="6"/>
      <c r="T596" s="6"/>
      <c r="U596" s="6"/>
      <c r="V596" s="6"/>
      <c r="W596" s="6"/>
      <c r="X596" s="6"/>
      <c r="Y596" s="6"/>
      <c r="Z596" s="6"/>
      <c r="AA596" s="6"/>
    </row>
    <row r="597" ht="15.75" customHeight="1">
      <c r="A597" s="59"/>
      <c r="B597" s="59"/>
      <c r="C597" s="59"/>
      <c r="D597" s="59"/>
      <c r="E597" s="59"/>
      <c r="F597" s="59"/>
      <c r="G597" s="59"/>
      <c r="H597" s="59"/>
      <c r="I597" s="59"/>
      <c r="J597" s="59"/>
      <c r="K597" s="59"/>
      <c r="L597" s="59"/>
      <c r="M597" s="59"/>
      <c r="N597" s="59"/>
      <c r="O597" s="7"/>
      <c r="P597" s="6"/>
      <c r="Q597" s="6"/>
      <c r="R597" s="6"/>
      <c r="S597" s="6"/>
      <c r="T597" s="6"/>
      <c r="U597" s="6"/>
      <c r="V597" s="6"/>
      <c r="W597" s="6"/>
      <c r="X597" s="6"/>
      <c r="Y597" s="6"/>
      <c r="Z597" s="6"/>
      <c r="AA597" s="6"/>
    </row>
    <row r="598" ht="15.75" customHeight="1">
      <c r="A598" s="59"/>
      <c r="B598" s="59"/>
      <c r="C598" s="59"/>
      <c r="D598" s="59"/>
      <c r="E598" s="59"/>
      <c r="F598" s="59"/>
      <c r="G598" s="59"/>
      <c r="H598" s="59"/>
      <c r="I598" s="59"/>
      <c r="J598" s="59"/>
      <c r="K598" s="59"/>
      <c r="L598" s="59"/>
      <c r="M598" s="59"/>
      <c r="N598" s="59"/>
      <c r="O598" s="7"/>
      <c r="P598" s="6"/>
      <c r="Q598" s="6"/>
      <c r="R598" s="6"/>
      <c r="S598" s="6"/>
      <c r="T598" s="6"/>
      <c r="U598" s="6"/>
      <c r="V598" s="6"/>
      <c r="W598" s="6"/>
      <c r="X598" s="6"/>
      <c r="Y598" s="6"/>
      <c r="Z598" s="6"/>
      <c r="AA598" s="6"/>
    </row>
    <row r="599" ht="15.75" customHeight="1">
      <c r="A599" s="59"/>
      <c r="B599" s="59"/>
      <c r="C599" s="59"/>
      <c r="D599" s="59"/>
      <c r="E599" s="59"/>
      <c r="F599" s="59"/>
      <c r="G599" s="59"/>
      <c r="H599" s="59"/>
      <c r="I599" s="59"/>
      <c r="J599" s="59"/>
      <c r="K599" s="59"/>
      <c r="L599" s="59"/>
      <c r="M599" s="59"/>
      <c r="N599" s="59"/>
      <c r="O599" s="7"/>
      <c r="P599" s="6"/>
      <c r="Q599" s="6"/>
      <c r="R599" s="6"/>
      <c r="S599" s="6"/>
      <c r="T599" s="6"/>
      <c r="U599" s="6"/>
      <c r="V599" s="6"/>
      <c r="W599" s="6"/>
      <c r="X599" s="6"/>
      <c r="Y599" s="6"/>
      <c r="Z599" s="6"/>
      <c r="AA599" s="6"/>
    </row>
    <row r="600" ht="15.75" customHeight="1">
      <c r="A600" s="59"/>
      <c r="B600" s="59"/>
      <c r="C600" s="59"/>
      <c r="D600" s="59"/>
      <c r="E600" s="59"/>
      <c r="F600" s="59"/>
      <c r="G600" s="59"/>
      <c r="H600" s="59"/>
      <c r="I600" s="59"/>
      <c r="J600" s="59"/>
      <c r="K600" s="59"/>
      <c r="L600" s="59"/>
      <c r="M600" s="59"/>
      <c r="N600" s="59"/>
      <c r="O600" s="7"/>
      <c r="P600" s="6"/>
      <c r="Q600" s="6"/>
      <c r="R600" s="6"/>
      <c r="S600" s="6"/>
      <c r="T600" s="6"/>
      <c r="U600" s="6"/>
      <c r="V600" s="6"/>
      <c r="W600" s="6"/>
      <c r="X600" s="6"/>
      <c r="Y600" s="6"/>
      <c r="Z600" s="6"/>
      <c r="AA600" s="6"/>
    </row>
    <row r="601" ht="15.75" customHeight="1">
      <c r="A601" s="59"/>
      <c r="B601" s="59"/>
      <c r="C601" s="59"/>
      <c r="D601" s="59"/>
      <c r="E601" s="59"/>
      <c r="F601" s="59"/>
      <c r="G601" s="59"/>
      <c r="H601" s="59"/>
      <c r="I601" s="59"/>
      <c r="J601" s="59"/>
      <c r="K601" s="59"/>
      <c r="L601" s="59"/>
      <c r="M601" s="59"/>
      <c r="N601" s="59"/>
      <c r="O601" s="7"/>
      <c r="P601" s="6"/>
      <c r="Q601" s="6"/>
      <c r="R601" s="6"/>
      <c r="S601" s="6"/>
      <c r="T601" s="6"/>
      <c r="U601" s="6"/>
      <c r="V601" s="6"/>
      <c r="W601" s="6"/>
      <c r="X601" s="6"/>
      <c r="Y601" s="6"/>
      <c r="Z601" s="6"/>
      <c r="AA601" s="6"/>
    </row>
    <row r="602" ht="15.75" customHeight="1">
      <c r="A602" s="59"/>
      <c r="B602" s="59"/>
      <c r="C602" s="59"/>
      <c r="D602" s="59"/>
      <c r="E602" s="59"/>
      <c r="F602" s="59"/>
      <c r="G602" s="59"/>
      <c r="H602" s="59"/>
      <c r="I602" s="59"/>
      <c r="J602" s="59"/>
      <c r="K602" s="59"/>
      <c r="L602" s="59"/>
      <c r="M602" s="59"/>
      <c r="N602" s="59"/>
      <c r="O602" s="7"/>
      <c r="P602" s="6"/>
      <c r="Q602" s="6"/>
      <c r="R602" s="6"/>
      <c r="S602" s="6"/>
      <c r="T602" s="6"/>
      <c r="U602" s="6"/>
      <c r="V602" s="6"/>
      <c r="W602" s="6"/>
      <c r="X602" s="6"/>
      <c r="Y602" s="6"/>
      <c r="Z602" s="6"/>
      <c r="AA602" s="6"/>
    </row>
    <row r="603" ht="15.75" customHeight="1">
      <c r="A603" s="59"/>
      <c r="B603" s="59"/>
      <c r="C603" s="59"/>
      <c r="D603" s="59"/>
      <c r="E603" s="59"/>
      <c r="F603" s="59"/>
      <c r="G603" s="59"/>
      <c r="H603" s="59"/>
      <c r="I603" s="59"/>
      <c r="J603" s="59"/>
      <c r="K603" s="59"/>
      <c r="L603" s="59"/>
      <c r="M603" s="59"/>
      <c r="N603" s="59"/>
      <c r="O603" s="7"/>
      <c r="P603" s="6"/>
      <c r="Q603" s="6"/>
      <c r="R603" s="6"/>
      <c r="S603" s="6"/>
      <c r="T603" s="6"/>
      <c r="U603" s="6"/>
      <c r="V603" s="6"/>
      <c r="W603" s="6"/>
      <c r="X603" s="6"/>
      <c r="Y603" s="6"/>
      <c r="Z603" s="6"/>
      <c r="AA603" s="6"/>
    </row>
    <row r="604" ht="15.75" customHeight="1">
      <c r="A604" s="59"/>
      <c r="B604" s="59"/>
      <c r="C604" s="59"/>
      <c r="D604" s="59"/>
      <c r="E604" s="59"/>
      <c r="F604" s="59"/>
      <c r="G604" s="59"/>
      <c r="H604" s="59"/>
      <c r="I604" s="59"/>
      <c r="J604" s="59"/>
      <c r="K604" s="59"/>
      <c r="L604" s="59"/>
      <c r="M604" s="59"/>
      <c r="N604" s="59"/>
      <c r="O604" s="7"/>
      <c r="P604" s="6"/>
      <c r="Q604" s="6"/>
      <c r="R604" s="6"/>
      <c r="S604" s="6"/>
      <c r="T604" s="6"/>
      <c r="U604" s="6"/>
      <c r="V604" s="6"/>
      <c r="W604" s="6"/>
      <c r="X604" s="6"/>
      <c r="Y604" s="6"/>
      <c r="Z604" s="6"/>
      <c r="AA604" s="6"/>
    </row>
    <row r="605" ht="15.75" customHeight="1">
      <c r="A605" s="59"/>
      <c r="B605" s="59"/>
      <c r="C605" s="59"/>
      <c r="D605" s="59"/>
      <c r="E605" s="59"/>
      <c r="F605" s="59"/>
      <c r="G605" s="59"/>
      <c r="H605" s="59"/>
      <c r="I605" s="59"/>
      <c r="J605" s="59"/>
      <c r="K605" s="59"/>
      <c r="L605" s="59"/>
      <c r="M605" s="59"/>
      <c r="N605" s="59"/>
      <c r="O605" s="7"/>
      <c r="P605" s="6"/>
      <c r="Q605" s="6"/>
      <c r="R605" s="6"/>
      <c r="S605" s="6"/>
      <c r="T605" s="6"/>
      <c r="U605" s="6"/>
      <c r="V605" s="6"/>
      <c r="W605" s="6"/>
      <c r="X605" s="6"/>
      <c r="Y605" s="6"/>
      <c r="Z605" s="6"/>
      <c r="AA605" s="6"/>
    </row>
    <row r="606" ht="15.75" customHeight="1">
      <c r="A606" s="59"/>
      <c r="B606" s="59"/>
      <c r="C606" s="59"/>
      <c r="D606" s="59"/>
      <c r="E606" s="59"/>
      <c r="F606" s="59"/>
      <c r="G606" s="59"/>
      <c r="H606" s="59"/>
      <c r="I606" s="59"/>
      <c r="J606" s="59"/>
      <c r="K606" s="59"/>
      <c r="L606" s="59"/>
      <c r="M606" s="59"/>
      <c r="N606" s="59"/>
      <c r="O606" s="7"/>
      <c r="P606" s="6"/>
      <c r="Q606" s="6"/>
      <c r="R606" s="6"/>
      <c r="S606" s="6"/>
      <c r="T606" s="6"/>
      <c r="U606" s="6"/>
      <c r="V606" s="6"/>
      <c r="W606" s="6"/>
      <c r="X606" s="6"/>
      <c r="Y606" s="6"/>
      <c r="Z606" s="6"/>
      <c r="AA606" s="6"/>
    </row>
    <row r="607" ht="15.75" customHeight="1">
      <c r="A607" s="59"/>
      <c r="B607" s="59"/>
      <c r="C607" s="59"/>
      <c r="D607" s="59"/>
      <c r="E607" s="59"/>
      <c r="F607" s="59"/>
      <c r="G607" s="59"/>
      <c r="H607" s="59"/>
      <c r="I607" s="59"/>
      <c r="J607" s="59"/>
      <c r="K607" s="59"/>
      <c r="L607" s="59"/>
      <c r="M607" s="59"/>
      <c r="N607" s="59"/>
      <c r="O607" s="7"/>
      <c r="P607" s="6"/>
      <c r="Q607" s="6"/>
      <c r="R607" s="6"/>
      <c r="S607" s="6"/>
      <c r="T607" s="6"/>
      <c r="U607" s="6"/>
      <c r="V607" s="6"/>
      <c r="W607" s="6"/>
      <c r="X607" s="6"/>
      <c r="Y607" s="6"/>
      <c r="Z607" s="6"/>
      <c r="AA607" s="6"/>
    </row>
    <row r="608" ht="15.75" customHeight="1">
      <c r="A608" s="59"/>
      <c r="B608" s="59"/>
      <c r="C608" s="59"/>
      <c r="D608" s="59"/>
      <c r="E608" s="59"/>
      <c r="F608" s="59"/>
      <c r="G608" s="59"/>
      <c r="H608" s="59"/>
      <c r="I608" s="59"/>
      <c r="J608" s="59"/>
      <c r="K608" s="59"/>
      <c r="L608" s="59"/>
      <c r="M608" s="59"/>
      <c r="N608" s="59"/>
      <c r="O608" s="7"/>
      <c r="P608" s="6"/>
      <c r="Q608" s="6"/>
      <c r="R608" s="6"/>
      <c r="S608" s="6"/>
      <c r="T608" s="6"/>
      <c r="U608" s="6"/>
      <c r="V608" s="6"/>
      <c r="W608" s="6"/>
      <c r="X608" s="6"/>
      <c r="Y608" s="6"/>
      <c r="Z608" s="6"/>
      <c r="AA608" s="6"/>
    </row>
    <row r="609" ht="15.75" customHeight="1">
      <c r="A609" s="59"/>
      <c r="B609" s="59"/>
      <c r="C609" s="59"/>
      <c r="D609" s="59"/>
      <c r="E609" s="59"/>
      <c r="F609" s="59"/>
      <c r="G609" s="59"/>
      <c r="H609" s="59"/>
      <c r="I609" s="59"/>
      <c r="J609" s="59"/>
      <c r="K609" s="59"/>
      <c r="L609" s="59"/>
      <c r="M609" s="59"/>
      <c r="N609" s="59"/>
      <c r="O609" s="7"/>
      <c r="P609" s="6"/>
      <c r="Q609" s="6"/>
      <c r="R609" s="6"/>
      <c r="S609" s="6"/>
      <c r="T609" s="6"/>
      <c r="U609" s="6"/>
      <c r="V609" s="6"/>
      <c r="W609" s="6"/>
      <c r="X609" s="6"/>
      <c r="Y609" s="6"/>
      <c r="Z609" s="6"/>
      <c r="AA609" s="6"/>
    </row>
    <row r="610" ht="15.75" customHeight="1">
      <c r="A610" s="59"/>
      <c r="B610" s="59"/>
      <c r="C610" s="59"/>
      <c r="D610" s="59"/>
      <c r="E610" s="59"/>
      <c r="F610" s="59"/>
      <c r="G610" s="59"/>
      <c r="H610" s="59"/>
      <c r="I610" s="59"/>
      <c r="J610" s="59"/>
      <c r="K610" s="59"/>
      <c r="L610" s="59"/>
      <c r="M610" s="59"/>
      <c r="N610" s="59"/>
      <c r="O610" s="7"/>
      <c r="P610" s="6"/>
      <c r="Q610" s="6"/>
      <c r="R610" s="6"/>
      <c r="S610" s="6"/>
      <c r="T610" s="6"/>
      <c r="U610" s="6"/>
      <c r="V610" s="6"/>
      <c r="W610" s="6"/>
      <c r="X610" s="6"/>
      <c r="Y610" s="6"/>
      <c r="Z610" s="6"/>
      <c r="AA610" s="6"/>
    </row>
    <row r="611" ht="15.75" customHeight="1">
      <c r="A611" s="59"/>
      <c r="B611" s="59"/>
      <c r="C611" s="59"/>
      <c r="D611" s="59"/>
      <c r="E611" s="59"/>
      <c r="F611" s="59"/>
      <c r="G611" s="59"/>
      <c r="H611" s="59"/>
      <c r="I611" s="59"/>
      <c r="J611" s="59"/>
      <c r="K611" s="59"/>
      <c r="L611" s="59"/>
      <c r="M611" s="59"/>
      <c r="N611" s="59"/>
      <c r="O611" s="7"/>
      <c r="P611" s="6"/>
      <c r="Q611" s="6"/>
      <c r="R611" s="6"/>
      <c r="S611" s="6"/>
      <c r="T611" s="6"/>
      <c r="U611" s="6"/>
      <c r="V611" s="6"/>
      <c r="W611" s="6"/>
      <c r="X611" s="6"/>
      <c r="Y611" s="6"/>
      <c r="Z611" s="6"/>
      <c r="AA611" s="6"/>
    </row>
    <row r="612" ht="15.75" customHeight="1">
      <c r="A612" s="59"/>
      <c r="B612" s="59"/>
      <c r="C612" s="59"/>
      <c r="D612" s="59"/>
      <c r="E612" s="59"/>
      <c r="F612" s="59"/>
      <c r="G612" s="59"/>
      <c r="H612" s="59"/>
      <c r="I612" s="59"/>
      <c r="J612" s="59"/>
      <c r="K612" s="59"/>
      <c r="L612" s="59"/>
      <c r="M612" s="59"/>
      <c r="N612" s="59"/>
      <c r="O612" s="7"/>
      <c r="P612" s="6"/>
      <c r="Q612" s="6"/>
      <c r="R612" s="6"/>
      <c r="S612" s="6"/>
      <c r="T612" s="6"/>
      <c r="U612" s="6"/>
      <c r="V612" s="6"/>
      <c r="W612" s="6"/>
      <c r="X612" s="6"/>
      <c r="Y612" s="6"/>
      <c r="Z612" s="6"/>
      <c r="AA612" s="6"/>
    </row>
    <row r="613" ht="15.75" customHeight="1">
      <c r="A613" s="59"/>
      <c r="B613" s="59"/>
      <c r="C613" s="59"/>
      <c r="D613" s="59"/>
      <c r="E613" s="59"/>
      <c r="F613" s="59"/>
      <c r="G613" s="59"/>
      <c r="H613" s="59"/>
      <c r="I613" s="59"/>
      <c r="J613" s="59"/>
      <c r="K613" s="59"/>
      <c r="L613" s="59"/>
      <c r="M613" s="59"/>
      <c r="N613" s="59"/>
      <c r="O613" s="7"/>
      <c r="P613" s="6"/>
      <c r="Q613" s="6"/>
      <c r="R613" s="6"/>
      <c r="S613" s="6"/>
      <c r="T613" s="6"/>
      <c r="U613" s="6"/>
      <c r="V613" s="6"/>
      <c r="W613" s="6"/>
      <c r="X613" s="6"/>
      <c r="Y613" s="6"/>
      <c r="Z613" s="6"/>
      <c r="AA613" s="6"/>
    </row>
    <row r="614" ht="15.75" customHeight="1">
      <c r="A614" s="59"/>
      <c r="B614" s="59"/>
      <c r="C614" s="59"/>
      <c r="D614" s="59"/>
      <c r="E614" s="59"/>
      <c r="F614" s="59"/>
      <c r="G614" s="59"/>
      <c r="H614" s="59"/>
      <c r="I614" s="59"/>
      <c r="J614" s="59"/>
      <c r="K614" s="59"/>
      <c r="L614" s="59"/>
      <c r="M614" s="59"/>
      <c r="N614" s="59"/>
      <c r="O614" s="7"/>
      <c r="P614" s="6"/>
      <c r="Q614" s="6"/>
      <c r="R614" s="6"/>
      <c r="S614" s="6"/>
      <c r="T614" s="6"/>
      <c r="U614" s="6"/>
      <c r="V614" s="6"/>
      <c r="W614" s="6"/>
      <c r="X614" s="6"/>
      <c r="Y614" s="6"/>
      <c r="Z614" s="6"/>
      <c r="AA614" s="6"/>
    </row>
    <row r="615" ht="15.75" customHeight="1">
      <c r="A615" s="59"/>
      <c r="B615" s="59"/>
      <c r="C615" s="59"/>
      <c r="D615" s="59"/>
      <c r="E615" s="59"/>
      <c r="F615" s="59"/>
      <c r="G615" s="59"/>
      <c r="H615" s="59"/>
      <c r="I615" s="59"/>
      <c r="J615" s="59"/>
      <c r="K615" s="59"/>
      <c r="L615" s="59"/>
      <c r="M615" s="59"/>
      <c r="N615" s="59"/>
      <c r="O615" s="7"/>
      <c r="P615" s="6"/>
      <c r="Q615" s="6"/>
      <c r="R615" s="6"/>
      <c r="S615" s="6"/>
      <c r="T615" s="6"/>
      <c r="U615" s="6"/>
      <c r="V615" s="6"/>
      <c r="W615" s="6"/>
      <c r="X615" s="6"/>
      <c r="Y615" s="6"/>
      <c r="Z615" s="6"/>
      <c r="AA615" s="6"/>
    </row>
    <row r="616" ht="15.75" customHeight="1">
      <c r="A616" s="59"/>
      <c r="B616" s="59"/>
      <c r="C616" s="59"/>
      <c r="D616" s="59"/>
      <c r="E616" s="59"/>
      <c r="F616" s="59"/>
      <c r="G616" s="59"/>
      <c r="H616" s="59"/>
      <c r="I616" s="59"/>
      <c r="J616" s="59"/>
      <c r="K616" s="59"/>
      <c r="L616" s="59"/>
      <c r="M616" s="59"/>
      <c r="N616" s="59"/>
      <c r="O616" s="7"/>
      <c r="P616" s="6"/>
      <c r="Q616" s="6"/>
      <c r="R616" s="6"/>
      <c r="S616" s="6"/>
      <c r="T616" s="6"/>
      <c r="U616" s="6"/>
      <c r="V616" s="6"/>
      <c r="W616" s="6"/>
      <c r="X616" s="6"/>
      <c r="Y616" s="6"/>
      <c r="Z616" s="6"/>
      <c r="AA616" s="6"/>
    </row>
    <row r="617" ht="15.75" customHeight="1">
      <c r="A617" s="59"/>
      <c r="B617" s="59"/>
      <c r="C617" s="59"/>
      <c r="D617" s="59"/>
      <c r="E617" s="59"/>
      <c r="F617" s="59"/>
      <c r="G617" s="59"/>
      <c r="H617" s="59"/>
      <c r="I617" s="59"/>
      <c r="J617" s="59"/>
      <c r="K617" s="59"/>
      <c r="L617" s="59"/>
      <c r="M617" s="59"/>
      <c r="N617" s="59"/>
      <c r="O617" s="7"/>
      <c r="P617" s="6"/>
      <c r="Q617" s="6"/>
      <c r="R617" s="6"/>
      <c r="S617" s="6"/>
      <c r="T617" s="6"/>
      <c r="U617" s="6"/>
      <c r="V617" s="6"/>
      <c r="W617" s="6"/>
      <c r="X617" s="6"/>
      <c r="Y617" s="6"/>
      <c r="Z617" s="6"/>
      <c r="AA617" s="6"/>
    </row>
    <row r="618" ht="15.75" customHeight="1">
      <c r="A618" s="59"/>
      <c r="B618" s="59"/>
      <c r="C618" s="59"/>
      <c r="D618" s="59"/>
      <c r="E618" s="59"/>
      <c r="F618" s="59"/>
      <c r="G618" s="59"/>
      <c r="H618" s="59"/>
      <c r="I618" s="59"/>
      <c r="J618" s="59"/>
      <c r="K618" s="59"/>
      <c r="L618" s="59"/>
      <c r="M618" s="59"/>
      <c r="N618" s="59"/>
      <c r="O618" s="7"/>
      <c r="P618" s="6"/>
      <c r="Q618" s="6"/>
      <c r="R618" s="6"/>
      <c r="S618" s="6"/>
      <c r="T618" s="6"/>
      <c r="U618" s="6"/>
      <c r="V618" s="6"/>
      <c r="W618" s="6"/>
      <c r="X618" s="6"/>
      <c r="Y618" s="6"/>
      <c r="Z618" s="6"/>
      <c r="AA618" s="6"/>
    </row>
    <row r="619" ht="15.75" customHeight="1">
      <c r="A619" s="59"/>
      <c r="B619" s="59"/>
      <c r="C619" s="59"/>
      <c r="D619" s="59"/>
      <c r="E619" s="59"/>
      <c r="F619" s="59"/>
      <c r="G619" s="59"/>
      <c r="H619" s="59"/>
      <c r="I619" s="59"/>
      <c r="J619" s="59"/>
      <c r="K619" s="59"/>
      <c r="L619" s="59"/>
      <c r="M619" s="59"/>
      <c r="N619" s="59"/>
      <c r="O619" s="7"/>
      <c r="P619" s="6"/>
      <c r="Q619" s="6"/>
      <c r="R619" s="6"/>
      <c r="S619" s="6"/>
      <c r="T619" s="6"/>
      <c r="U619" s="6"/>
      <c r="V619" s="6"/>
      <c r="W619" s="6"/>
      <c r="X619" s="6"/>
      <c r="Y619" s="6"/>
      <c r="Z619" s="6"/>
      <c r="AA619" s="6"/>
    </row>
    <row r="620" ht="15.75" customHeight="1">
      <c r="A620" s="59"/>
      <c r="B620" s="59"/>
      <c r="C620" s="59"/>
      <c r="D620" s="59"/>
      <c r="E620" s="59"/>
      <c r="F620" s="59"/>
      <c r="G620" s="59"/>
      <c r="H620" s="59"/>
      <c r="I620" s="59"/>
      <c r="J620" s="59"/>
      <c r="K620" s="59"/>
      <c r="L620" s="59"/>
      <c r="M620" s="59"/>
      <c r="N620" s="59"/>
      <c r="O620" s="7"/>
      <c r="P620" s="6"/>
      <c r="Q620" s="6"/>
      <c r="R620" s="6"/>
      <c r="S620" s="6"/>
      <c r="T620" s="6"/>
      <c r="U620" s="6"/>
      <c r="V620" s="6"/>
      <c r="W620" s="6"/>
      <c r="X620" s="6"/>
      <c r="Y620" s="6"/>
      <c r="Z620" s="6"/>
      <c r="AA620" s="6"/>
    </row>
    <row r="621" ht="15.75" customHeight="1">
      <c r="A621" s="59"/>
      <c r="B621" s="59"/>
      <c r="C621" s="59"/>
      <c r="D621" s="59"/>
      <c r="E621" s="59"/>
      <c r="F621" s="59"/>
      <c r="G621" s="59"/>
      <c r="H621" s="59"/>
      <c r="I621" s="59"/>
      <c r="J621" s="59"/>
      <c r="K621" s="59"/>
      <c r="L621" s="59"/>
      <c r="M621" s="59"/>
      <c r="N621" s="59"/>
      <c r="O621" s="7"/>
      <c r="P621" s="6"/>
      <c r="Q621" s="6"/>
      <c r="R621" s="6"/>
      <c r="S621" s="6"/>
      <c r="T621" s="6"/>
      <c r="U621" s="6"/>
      <c r="V621" s="6"/>
      <c r="W621" s="6"/>
      <c r="X621" s="6"/>
      <c r="Y621" s="6"/>
      <c r="Z621" s="6"/>
      <c r="AA621" s="6"/>
    </row>
    <row r="622" ht="15.75" customHeight="1">
      <c r="A622" s="59"/>
      <c r="B622" s="59"/>
      <c r="C622" s="59"/>
      <c r="D622" s="59"/>
      <c r="E622" s="59"/>
      <c r="F622" s="59"/>
      <c r="G622" s="59"/>
      <c r="H622" s="59"/>
      <c r="I622" s="59"/>
      <c r="J622" s="59"/>
      <c r="K622" s="59"/>
      <c r="L622" s="59"/>
      <c r="M622" s="59"/>
      <c r="N622" s="59"/>
      <c r="O622" s="7"/>
      <c r="P622" s="6"/>
      <c r="Q622" s="6"/>
      <c r="R622" s="6"/>
      <c r="S622" s="6"/>
      <c r="T622" s="6"/>
      <c r="U622" s="6"/>
      <c r="V622" s="6"/>
      <c r="W622" s="6"/>
      <c r="X622" s="6"/>
      <c r="Y622" s="6"/>
      <c r="Z622" s="6"/>
      <c r="AA622" s="6"/>
    </row>
    <row r="623" ht="15.75" customHeight="1">
      <c r="A623" s="59"/>
      <c r="B623" s="59"/>
      <c r="C623" s="59"/>
      <c r="D623" s="59"/>
      <c r="E623" s="59"/>
      <c r="F623" s="59"/>
      <c r="G623" s="59"/>
      <c r="H623" s="59"/>
      <c r="I623" s="59"/>
      <c r="J623" s="59"/>
      <c r="K623" s="59"/>
      <c r="L623" s="59"/>
      <c r="M623" s="59"/>
      <c r="N623" s="59"/>
      <c r="O623" s="7"/>
      <c r="P623" s="6"/>
      <c r="Q623" s="6"/>
      <c r="R623" s="6"/>
      <c r="S623" s="6"/>
      <c r="T623" s="6"/>
      <c r="U623" s="6"/>
      <c r="V623" s="6"/>
      <c r="W623" s="6"/>
      <c r="X623" s="6"/>
      <c r="Y623" s="6"/>
      <c r="Z623" s="6"/>
      <c r="AA623" s="6"/>
    </row>
    <row r="624" ht="15.75" customHeight="1">
      <c r="A624" s="59"/>
      <c r="B624" s="59"/>
      <c r="C624" s="59"/>
      <c r="D624" s="59"/>
      <c r="E624" s="59"/>
      <c r="F624" s="59"/>
      <c r="G624" s="59"/>
      <c r="H624" s="59"/>
      <c r="I624" s="59"/>
      <c r="J624" s="59"/>
      <c r="K624" s="59"/>
      <c r="L624" s="59"/>
      <c r="M624" s="59"/>
      <c r="N624" s="59"/>
      <c r="O624" s="7"/>
      <c r="P624" s="6"/>
      <c r="Q624" s="6"/>
      <c r="R624" s="6"/>
      <c r="S624" s="6"/>
      <c r="T624" s="6"/>
      <c r="U624" s="6"/>
      <c r="V624" s="6"/>
      <c r="W624" s="6"/>
      <c r="X624" s="6"/>
      <c r="Y624" s="6"/>
      <c r="Z624" s="6"/>
      <c r="AA624" s="6"/>
    </row>
    <row r="625" ht="15.75" customHeight="1">
      <c r="A625" s="59"/>
      <c r="B625" s="59"/>
      <c r="C625" s="59"/>
      <c r="D625" s="59"/>
      <c r="E625" s="59"/>
      <c r="F625" s="59"/>
      <c r="G625" s="59"/>
      <c r="H625" s="59"/>
      <c r="I625" s="59"/>
      <c r="J625" s="59"/>
      <c r="K625" s="59"/>
      <c r="L625" s="59"/>
      <c r="M625" s="59"/>
      <c r="N625" s="59"/>
      <c r="O625" s="7"/>
      <c r="P625" s="6"/>
      <c r="Q625" s="6"/>
      <c r="R625" s="6"/>
      <c r="S625" s="6"/>
      <c r="T625" s="6"/>
      <c r="U625" s="6"/>
      <c r="V625" s="6"/>
      <c r="W625" s="6"/>
      <c r="X625" s="6"/>
      <c r="Y625" s="6"/>
      <c r="Z625" s="6"/>
      <c r="AA625" s="6"/>
    </row>
    <row r="626" ht="15.75" customHeight="1">
      <c r="A626" s="59"/>
      <c r="B626" s="59"/>
      <c r="C626" s="59"/>
      <c r="D626" s="59"/>
      <c r="E626" s="59"/>
      <c r="F626" s="59"/>
      <c r="G626" s="59"/>
      <c r="H626" s="59"/>
      <c r="I626" s="59"/>
      <c r="J626" s="59"/>
      <c r="K626" s="59"/>
      <c r="L626" s="59"/>
      <c r="M626" s="59"/>
      <c r="N626" s="59"/>
      <c r="O626" s="7"/>
      <c r="P626" s="6"/>
      <c r="Q626" s="6"/>
      <c r="R626" s="6"/>
      <c r="S626" s="6"/>
      <c r="T626" s="6"/>
      <c r="U626" s="6"/>
      <c r="V626" s="6"/>
      <c r="W626" s="6"/>
      <c r="X626" s="6"/>
      <c r="Y626" s="6"/>
      <c r="Z626" s="6"/>
      <c r="AA626" s="6"/>
    </row>
    <row r="627" ht="15.75" customHeight="1">
      <c r="A627" s="59"/>
      <c r="B627" s="59"/>
      <c r="C627" s="59"/>
      <c r="D627" s="59"/>
      <c r="E627" s="59"/>
      <c r="F627" s="59"/>
      <c r="G627" s="59"/>
      <c r="H627" s="59"/>
      <c r="I627" s="59"/>
      <c r="J627" s="59"/>
      <c r="K627" s="59"/>
      <c r="L627" s="59"/>
      <c r="M627" s="59"/>
      <c r="N627" s="59"/>
      <c r="O627" s="7"/>
      <c r="P627" s="6"/>
      <c r="Q627" s="6"/>
      <c r="R627" s="6"/>
      <c r="S627" s="6"/>
      <c r="T627" s="6"/>
      <c r="U627" s="6"/>
      <c r="V627" s="6"/>
      <c r="W627" s="6"/>
      <c r="X627" s="6"/>
      <c r="Y627" s="6"/>
      <c r="Z627" s="6"/>
      <c r="AA627" s="6"/>
    </row>
    <row r="628" ht="15.75" customHeight="1">
      <c r="A628" s="59"/>
      <c r="B628" s="59"/>
      <c r="C628" s="59"/>
      <c r="D628" s="59"/>
      <c r="E628" s="59"/>
      <c r="F628" s="59"/>
      <c r="G628" s="59"/>
      <c r="H628" s="59"/>
      <c r="I628" s="59"/>
      <c r="J628" s="59"/>
      <c r="K628" s="59"/>
      <c r="L628" s="59"/>
      <c r="M628" s="59"/>
      <c r="N628" s="59"/>
      <c r="O628" s="7"/>
      <c r="P628" s="6"/>
      <c r="Q628" s="6"/>
      <c r="R628" s="6"/>
      <c r="S628" s="6"/>
      <c r="T628" s="6"/>
      <c r="U628" s="6"/>
      <c r="V628" s="6"/>
      <c r="W628" s="6"/>
      <c r="X628" s="6"/>
      <c r="Y628" s="6"/>
      <c r="Z628" s="6"/>
      <c r="AA628" s="6"/>
    </row>
    <row r="629" ht="15.75" customHeight="1">
      <c r="A629" s="59"/>
      <c r="B629" s="59"/>
      <c r="C629" s="59"/>
      <c r="D629" s="59"/>
      <c r="E629" s="59"/>
      <c r="F629" s="59"/>
      <c r="G629" s="59"/>
      <c r="H629" s="59"/>
      <c r="I629" s="59"/>
      <c r="J629" s="59"/>
      <c r="K629" s="59"/>
      <c r="L629" s="59"/>
      <c r="M629" s="59"/>
      <c r="N629" s="59"/>
      <c r="O629" s="7"/>
      <c r="P629" s="6"/>
      <c r="Q629" s="6"/>
      <c r="R629" s="6"/>
      <c r="S629" s="6"/>
      <c r="T629" s="6"/>
      <c r="U629" s="6"/>
      <c r="V629" s="6"/>
      <c r="W629" s="6"/>
      <c r="X629" s="6"/>
      <c r="Y629" s="6"/>
      <c r="Z629" s="6"/>
      <c r="AA629" s="6"/>
    </row>
    <row r="630" ht="15.75" customHeight="1">
      <c r="A630" s="59"/>
      <c r="B630" s="59"/>
      <c r="C630" s="59"/>
      <c r="D630" s="59"/>
      <c r="E630" s="59"/>
      <c r="F630" s="59"/>
      <c r="G630" s="59"/>
      <c r="H630" s="59"/>
      <c r="I630" s="59"/>
      <c r="J630" s="59"/>
      <c r="K630" s="59"/>
      <c r="L630" s="59"/>
      <c r="M630" s="59"/>
      <c r="N630" s="59"/>
      <c r="O630" s="7"/>
      <c r="P630" s="6"/>
      <c r="Q630" s="6"/>
      <c r="R630" s="6"/>
      <c r="S630" s="6"/>
      <c r="T630" s="6"/>
      <c r="U630" s="6"/>
      <c r="V630" s="6"/>
      <c r="W630" s="6"/>
      <c r="X630" s="6"/>
      <c r="Y630" s="6"/>
      <c r="Z630" s="6"/>
      <c r="AA630" s="6"/>
    </row>
    <row r="631" ht="15.75" customHeight="1">
      <c r="A631" s="59"/>
      <c r="B631" s="59"/>
      <c r="C631" s="59"/>
      <c r="D631" s="59"/>
      <c r="E631" s="59"/>
      <c r="F631" s="59"/>
      <c r="G631" s="59"/>
      <c r="H631" s="59"/>
      <c r="I631" s="59"/>
      <c r="J631" s="59"/>
      <c r="K631" s="59"/>
      <c r="L631" s="59"/>
      <c r="M631" s="59"/>
      <c r="N631" s="59"/>
      <c r="O631" s="7"/>
      <c r="P631" s="6"/>
      <c r="Q631" s="6"/>
      <c r="R631" s="6"/>
      <c r="S631" s="6"/>
      <c r="T631" s="6"/>
      <c r="U631" s="6"/>
      <c r="V631" s="6"/>
      <c r="W631" s="6"/>
      <c r="X631" s="6"/>
      <c r="Y631" s="6"/>
      <c r="Z631" s="6"/>
      <c r="AA631" s="6"/>
    </row>
    <row r="632" ht="15.75" customHeight="1">
      <c r="A632" s="59"/>
      <c r="B632" s="59"/>
      <c r="C632" s="59"/>
      <c r="D632" s="59"/>
      <c r="E632" s="59"/>
      <c r="F632" s="59"/>
      <c r="G632" s="59"/>
      <c r="H632" s="59"/>
      <c r="I632" s="59"/>
      <c r="J632" s="59"/>
      <c r="K632" s="59"/>
      <c r="L632" s="59"/>
      <c r="M632" s="59"/>
      <c r="N632" s="59"/>
      <c r="O632" s="7"/>
      <c r="P632" s="6"/>
      <c r="Q632" s="6"/>
      <c r="R632" s="6"/>
      <c r="S632" s="6"/>
      <c r="T632" s="6"/>
      <c r="U632" s="6"/>
      <c r="V632" s="6"/>
      <c r="W632" s="6"/>
      <c r="X632" s="6"/>
      <c r="Y632" s="6"/>
      <c r="Z632" s="6"/>
      <c r="AA632" s="6"/>
    </row>
    <row r="633" ht="15.75" customHeight="1">
      <c r="A633" s="59"/>
      <c r="B633" s="59"/>
      <c r="C633" s="59"/>
      <c r="D633" s="59"/>
      <c r="E633" s="59"/>
      <c r="F633" s="59"/>
      <c r="G633" s="59"/>
      <c r="H633" s="59"/>
      <c r="I633" s="59"/>
      <c r="J633" s="59"/>
      <c r="K633" s="59"/>
      <c r="L633" s="59"/>
      <c r="M633" s="59"/>
      <c r="N633" s="59"/>
      <c r="O633" s="7"/>
      <c r="P633" s="6"/>
      <c r="Q633" s="6"/>
      <c r="R633" s="6"/>
      <c r="S633" s="6"/>
      <c r="T633" s="6"/>
      <c r="U633" s="6"/>
      <c r="V633" s="6"/>
      <c r="W633" s="6"/>
      <c r="X633" s="6"/>
      <c r="Y633" s="6"/>
      <c r="Z633" s="6"/>
      <c r="AA633" s="6"/>
    </row>
    <row r="634" ht="15.75" customHeight="1">
      <c r="A634" s="59"/>
      <c r="B634" s="59"/>
      <c r="C634" s="59"/>
      <c r="D634" s="59"/>
      <c r="E634" s="59"/>
      <c r="F634" s="59"/>
      <c r="G634" s="59"/>
      <c r="H634" s="59"/>
      <c r="I634" s="59"/>
      <c r="J634" s="59"/>
      <c r="K634" s="59"/>
      <c r="L634" s="59"/>
      <c r="M634" s="59"/>
      <c r="N634" s="59"/>
      <c r="O634" s="7"/>
      <c r="P634" s="6"/>
      <c r="Q634" s="6"/>
      <c r="R634" s="6"/>
      <c r="S634" s="6"/>
      <c r="T634" s="6"/>
      <c r="U634" s="6"/>
      <c r="V634" s="6"/>
      <c r="W634" s="6"/>
      <c r="X634" s="6"/>
      <c r="Y634" s="6"/>
      <c r="Z634" s="6"/>
      <c r="AA634" s="6"/>
    </row>
    <row r="635" ht="15.75" customHeight="1">
      <c r="A635" s="59"/>
      <c r="B635" s="59"/>
      <c r="C635" s="59"/>
      <c r="D635" s="59"/>
      <c r="E635" s="59"/>
      <c r="F635" s="59"/>
      <c r="G635" s="59"/>
      <c r="H635" s="59"/>
      <c r="I635" s="59"/>
      <c r="J635" s="59"/>
      <c r="K635" s="59"/>
      <c r="L635" s="59"/>
      <c r="M635" s="59"/>
      <c r="N635" s="59"/>
      <c r="O635" s="7"/>
      <c r="P635" s="6"/>
      <c r="Q635" s="6"/>
      <c r="R635" s="6"/>
      <c r="S635" s="6"/>
      <c r="T635" s="6"/>
      <c r="U635" s="6"/>
      <c r="V635" s="6"/>
      <c r="W635" s="6"/>
      <c r="X635" s="6"/>
      <c r="Y635" s="6"/>
      <c r="Z635" s="6"/>
      <c r="AA635" s="6"/>
    </row>
    <row r="636" ht="15.75" customHeight="1">
      <c r="A636" s="59"/>
      <c r="B636" s="59"/>
      <c r="C636" s="59"/>
      <c r="D636" s="59"/>
      <c r="E636" s="59"/>
      <c r="F636" s="59"/>
      <c r="G636" s="59"/>
      <c r="H636" s="59"/>
      <c r="I636" s="59"/>
      <c r="J636" s="59"/>
      <c r="K636" s="59"/>
      <c r="L636" s="59"/>
      <c r="M636" s="59"/>
      <c r="N636" s="59"/>
      <c r="O636" s="7"/>
      <c r="P636" s="6"/>
      <c r="Q636" s="6"/>
      <c r="R636" s="6"/>
      <c r="S636" s="6"/>
      <c r="T636" s="6"/>
      <c r="U636" s="6"/>
      <c r="V636" s="6"/>
      <c r="W636" s="6"/>
      <c r="X636" s="6"/>
      <c r="Y636" s="6"/>
      <c r="Z636" s="6"/>
      <c r="AA636" s="6"/>
    </row>
    <row r="637" ht="15.75" customHeight="1">
      <c r="A637" s="59"/>
      <c r="B637" s="59"/>
      <c r="C637" s="59"/>
      <c r="D637" s="59"/>
      <c r="E637" s="59"/>
      <c r="F637" s="59"/>
      <c r="G637" s="59"/>
      <c r="H637" s="59"/>
      <c r="I637" s="59"/>
      <c r="J637" s="59"/>
      <c r="K637" s="59"/>
      <c r="L637" s="59"/>
      <c r="M637" s="59"/>
      <c r="N637" s="59"/>
      <c r="O637" s="7"/>
      <c r="P637" s="6"/>
      <c r="Q637" s="6"/>
      <c r="R637" s="6"/>
      <c r="S637" s="6"/>
      <c r="T637" s="6"/>
      <c r="U637" s="6"/>
      <c r="V637" s="6"/>
      <c r="W637" s="6"/>
      <c r="X637" s="6"/>
      <c r="Y637" s="6"/>
      <c r="Z637" s="6"/>
      <c r="AA637" s="6"/>
    </row>
    <row r="638" ht="15.75" customHeight="1">
      <c r="A638" s="59"/>
      <c r="B638" s="59"/>
      <c r="C638" s="59"/>
      <c r="D638" s="59"/>
      <c r="E638" s="59"/>
      <c r="F638" s="59"/>
      <c r="G638" s="59"/>
      <c r="H638" s="59"/>
      <c r="I638" s="59"/>
      <c r="J638" s="59"/>
      <c r="K638" s="59"/>
      <c r="L638" s="59"/>
      <c r="M638" s="59"/>
      <c r="N638" s="59"/>
      <c r="O638" s="7"/>
      <c r="P638" s="6"/>
      <c r="Q638" s="6"/>
      <c r="R638" s="6"/>
      <c r="S638" s="6"/>
      <c r="T638" s="6"/>
      <c r="U638" s="6"/>
      <c r="V638" s="6"/>
      <c r="W638" s="6"/>
      <c r="X638" s="6"/>
      <c r="Y638" s="6"/>
      <c r="Z638" s="6"/>
      <c r="AA638" s="6"/>
    </row>
    <row r="639" ht="15.75" customHeight="1">
      <c r="A639" s="59"/>
      <c r="B639" s="59"/>
      <c r="C639" s="59"/>
      <c r="D639" s="59"/>
      <c r="E639" s="59"/>
      <c r="F639" s="59"/>
      <c r="G639" s="59"/>
      <c r="H639" s="59"/>
      <c r="I639" s="59"/>
      <c r="J639" s="59"/>
      <c r="K639" s="59"/>
      <c r="L639" s="59"/>
      <c r="M639" s="59"/>
      <c r="N639" s="59"/>
      <c r="O639" s="7"/>
      <c r="P639" s="6"/>
      <c r="Q639" s="6"/>
      <c r="R639" s="6"/>
      <c r="S639" s="6"/>
      <c r="T639" s="6"/>
      <c r="U639" s="6"/>
      <c r="V639" s="6"/>
      <c r="W639" s="6"/>
      <c r="X639" s="6"/>
      <c r="Y639" s="6"/>
      <c r="Z639" s="6"/>
      <c r="AA639" s="6"/>
    </row>
    <row r="640" ht="15.75" customHeight="1">
      <c r="A640" s="59"/>
      <c r="B640" s="59"/>
      <c r="C640" s="59"/>
      <c r="D640" s="59"/>
      <c r="E640" s="59"/>
      <c r="F640" s="59"/>
      <c r="G640" s="59"/>
      <c r="H640" s="59"/>
      <c r="I640" s="59"/>
      <c r="J640" s="59"/>
      <c r="K640" s="59"/>
      <c r="L640" s="59"/>
      <c r="M640" s="59"/>
      <c r="N640" s="59"/>
      <c r="O640" s="7"/>
      <c r="P640" s="6"/>
      <c r="Q640" s="6"/>
      <c r="R640" s="6"/>
      <c r="S640" s="6"/>
      <c r="T640" s="6"/>
      <c r="U640" s="6"/>
      <c r="V640" s="6"/>
      <c r="W640" s="6"/>
      <c r="X640" s="6"/>
      <c r="Y640" s="6"/>
      <c r="Z640" s="6"/>
      <c r="AA640" s="6"/>
    </row>
    <row r="641" ht="15.75" customHeight="1">
      <c r="A641" s="59"/>
      <c r="B641" s="59"/>
      <c r="C641" s="59"/>
      <c r="D641" s="59"/>
      <c r="E641" s="59"/>
      <c r="F641" s="59"/>
      <c r="G641" s="59"/>
      <c r="H641" s="59"/>
      <c r="I641" s="59"/>
      <c r="J641" s="59"/>
      <c r="K641" s="59"/>
      <c r="L641" s="59"/>
      <c r="M641" s="59"/>
      <c r="N641" s="59"/>
      <c r="O641" s="7"/>
      <c r="P641" s="6"/>
      <c r="Q641" s="6"/>
      <c r="R641" s="6"/>
      <c r="S641" s="6"/>
      <c r="T641" s="6"/>
      <c r="U641" s="6"/>
      <c r="V641" s="6"/>
      <c r="W641" s="6"/>
      <c r="X641" s="6"/>
      <c r="Y641" s="6"/>
      <c r="Z641" s="6"/>
      <c r="AA641" s="6"/>
    </row>
    <row r="642" ht="15.75" customHeight="1">
      <c r="A642" s="59"/>
      <c r="B642" s="59"/>
      <c r="C642" s="59"/>
      <c r="D642" s="59"/>
      <c r="E642" s="59"/>
      <c r="F642" s="59"/>
      <c r="G642" s="59"/>
      <c r="H642" s="59"/>
      <c r="I642" s="59"/>
      <c r="J642" s="59"/>
      <c r="K642" s="59"/>
      <c r="L642" s="59"/>
      <c r="M642" s="59"/>
      <c r="N642" s="59"/>
      <c r="O642" s="7"/>
      <c r="P642" s="6"/>
      <c r="Q642" s="6"/>
      <c r="R642" s="6"/>
      <c r="S642" s="6"/>
      <c r="T642" s="6"/>
      <c r="U642" s="6"/>
      <c r="V642" s="6"/>
      <c r="W642" s="6"/>
      <c r="X642" s="6"/>
      <c r="Y642" s="6"/>
      <c r="Z642" s="6"/>
      <c r="AA642" s="6"/>
    </row>
    <row r="643" ht="15.75" customHeight="1">
      <c r="A643" s="59"/>
      <c r="B643" s="59"/>
      <c r="C643" s="59"/>
      <c r="D643" s="59"/>
      <c r="E643" s="59"/>
      <c r="F643" s="59"/>
      <c r="G643" s="59"/>
      <c r="H643" s="59"/>
      <c r="I643" s="59"/>
      <c r="J643" s="59"/>
      <c r="K643" s="59"/>
      <c r="L643" s="59"/>
      <c r="M643" s="59"/>
      <c r="N643" s="59"/>
      <c r="O643" s="7"/>
      <c r="P643" s="6"/>
      <c r="Q643" s="6"/>
      <c r="R643" s="6"/>
      <c r="S643" s="6"/>
      <c r="T643" s="6"/>
      <c r="U643" s="6"/>
      <c r="V643" s="6"/>
      <c r="W643" s="6"/>
      <c r="X643" s="6"/>
      <c r="Y643" s="6"/>
      <c r="Z643" s="6"/>
      <c r="AA643" s="6"/>
    </row>
    <row r="644" ht="15.75" customHeight="1">
      <c r="A644" s="59"/>
      <c r="B644" s="59"/>
      <c r="C644" s="59"/>
      <c r="D644" s="59"/>
      <c r="E644" s="59"/>
      <c r="F644" s="59"/>
      <c r="G644" s="59"/>
      <c r="H644" s="59"/>
      <c r="I644" s="59"/>
      <c r="J644" s="59"/>
      <c r="K644" s="59"/>
      <c r="L644" s="59"/>
      <c r="M644" s="59"/>
      <c r="N644" s="59"/>
      <c r="O644" s="7"/>
      <c r="P644" s="6"/>
      <c r="Q644" s="6"/>
      <c r="R644" s="6"/>
      <c r="S644" s="6"/>
      <c r="T644" s="6"/>
      <c r="U644" s="6"/>
      <c r="V644" s="6"/>
      <c r="W644" s="6"/>
      <c r="X644" s="6"/>
      <c r="Y644" s="6"/>
      <c r="Z644" s="6"/>
      <c r="AA644" s="6"/>
    </row>
    <row r="645" ht="15.75" customHeight="1">
      <c r="A645" s="59"/>
      <c r="B645" s="59"/>
      <c r="C645" s="59"/>
      <c r="D645" s="59"/>
      <c r="E645" s="59"/>
      <c r="F645" s="59"/>
      <c r="G645" s="59"/>
      <c r="H645" s="59"/>
      <c r="I645" s="59"/>
      <c r="J645" s="59"/>
      <c r="K645" s="59"/>
      <c r="L645" s="59"/>
      <c r="M645" s="59"/>
      <c r="N645" s="59"/>
      <c r="O645" s="7"/>
      <c r="P645" s="6"/>
      <c r="Q645" s="6"/>
      <c r="R645" s="6"/>
      <c r="S645" s="6"/>
      <c r="T645" s="6"/>
      <c r="U645" s="6"/>
      <c r="V645" s="6"/>
      <c r="W645" s="6"/>
      <c r="X645" s="6"/>
      <c r="Y645" s="6"/>
      <c r="Z645" s="6"/>
      <c r="AA645" s="6"/>
    </row>
    <row r="646" ht="15.75" customHeight="1">
      <c r="A646" s="59"/>
      <c r="B646" s="59"/>
      <c r="C646" s="59"/>
      <c r="D646" s="59"/>
      <c r="E646" s="59"/>
      <c r="F646" s="59"/>
      <c r="G646" s="59"/>
      <c r="H646" s="59"/>
      <c r="I646" s="59"/>
      <c r="J646" s="59"/>
      <c r="K646" s="59"/>
      <c r="L646" s="59"/>
      <c r="M646" s="59"/>
      <c r="N646" s="59"/>
      <c r="O646" s="7"/>
      <c r="P646" s="6"/>
      <c r="Q646" s="6"/>
      <c r="R646" s="6"/>
      <c r="S646" s="6"/>
      <c r="T646" s="6"/>
      <c r="U646" s="6"/>
      <c r="V646" s="6"/>
      <c r="W646" s="6"/>
      <c r="X646" s="6"/>
      <c r="Y646" s="6"/>
      <c r="Z646" s="6"/>
      <c r="AA646" s="6"/>
    </row>
    <row r="647" ht="15.75" customHeight="1">
      <c r="A647" s="59"/>
      <c r="B647" s="59"/>
      <c r="C647" s="59"/>
      <c r="D647" s="59"/>
      <c r="E647" s="59"/>
      <c r="F647" s="59"/>
      <c r="G647" s="59"/>
      <c r="H647" s="59"/>
      <c r="I647" s="59"/>
      <c r="J647" s="59"/>
      <c r="K647" s="59"/>
      <c r="L647" s="59"/>
      <c r="M647" s="59"/>
      <c r="N647" s="59"/>
      <c r="O647" s="7"/>
      <c r="P647" s="6"/>
      <c r="Q647" s="6"/>
      <c r="R647" s="6"/>
      <c r="S647" s="6"/>
      <c r="T647" s="6"/>
      <c r="U647" s="6"/>
      <c r="V647" s="6"/>
      <c r="W647" s="6"/>
      <c r="X647" s="6"/>
      <c r="Y647" s="6"/>
      <c r="Z647" s="6"/>
      <c r="AA647" s="6"/>
    </row>
    <row r="648" ht="15.75" customHeight="1">
      <c r="A648" s="59"/>
      <c r="B648" s="59"/>
      <c r="C648" s="59"/>
      <c r="D648" s="59"/>
      <c r="E648" s="59"/>
      <c r="F648" s="59"/>
      <c r="G648" s="59"/>
      <c r="H648" s="59"/>
      <c r="I648" s="59"/>
      <c r="J648" s="59"/>
      <c r="K648" s="59"/>
      <c r="L648" s="59"/>
      <c r="M648" s="59"/>
      <c r="N648" s="59"/>
      <c r="O648" s="7"/>
      <c r="P648" s="6"/>
      <c r="Q648" s="6"/>
      <c r="R648" s="6"/>
      <c r="S648" s="6"/>
      <c r="T648" s="6"/>
      <c r="U648" s="6"/>
      <c r="V648" s="6"/>
      <c r="W648" s="6"/>
      <c r="X648" s="6"/>
      <c r="Y648" s="6"/>
      <c r="Z648" s="6"/>
      <c r="AA648" s="6"/>
    </row>
    <row r="649" ht="15.75" customHeight="1">
      <c r="A649" s="59"/>
      <c r="B649" s="59"/>
      <c r="C649" s="59"/>
      <c r="D649" s="59"/>
      <c r="E649" s="59"/>
      <c r="F649" s="59"/>
      <c r="G649" s="59"/>
      <c r="H649" s="59"/>
      <c r="I649" s="59"/>
      <c r="J649" s="59"/>
      <c r="K649" s="59"/>
      <c r="L649" s="59"/>
      <c r="M649" s="59"/>
      <c r="N649" s="59"/>
      <c r="O649" s="7"/>
      <c r="P649" s="6"/>
      <c r="Q649" s="6"/>
      <c r="R649" s="6"/>
      <c r="S649" s="6"/>
      <c r="T649" s="6"/>
      <c r="U649" s="6"/>
      <c r="V649" s="6"/>
      <c r="W649" s="6"/>
      <c r="X649" s="6"/>
      <c r="Y649" s="6"/>
      <c r="Z649" s="6"/>
      <c r="AA649" s="6"/>
    </row>
    <row r="650" ht="15.75" customHeight="1">
      <c r="A650" s="59"/>
      <c r="B650" s="59"/>
      <c r="C650" s="59"/>
      <c r="D650" s="59"/>
      <c r="E650" s="59"/>
      <c r="F650" s="59"/>
      <c r="G650" s="59"/>
      <c r="H650" s="59"/>
      <c r="I650" s="59"/>
      <c r="J650" s="59"/>
      <c r="K650" s="59"/>
      <c r="L650" s="59"/>
      <c r="M650" s="59"/>
      <c r="N650" s="59"/>
      <c r="O650" s="7"/>
      <c r="P650" s="6"/>
      <c r="Q650" s="6"/>
      <c r="R650" s="6"/>
      <c r="S650" s="6"/>
      <c r="T650" s="6"/>
      <c r="U650" s="6"/>
      <c r="V650" s="6"/>
      <c r="W650" s="6"/>
      <c r="X650" s="6"/>
      <c r="Y650" s="6"/>
      <c r="Z650" s="6"/>
      <c r="AA650" s="6"/>
    </row>
    <row r="651" ht="15.75" customHeight="1">
      <c r="A651" s="59"/>
      <c r="B651" s="59"/>
      <c r="C651" s="59"/>
      <c r="D651" s="59"/>
      <c r="E651" s="59"/>
      <c r="F651" s="59"/>
      <c r="G651" s="59"/>
      <c r="H651" s="59"/>
      <c r="I651" s="59"/>
      <c r="J651" s="59"/>
      <c r="K651" s="59"/>
      <c r="L651" s="59"/>
      <c r="M651" s="59"/>
      <c r="N651" s="59"/>
      <c r="O651" s="7"/>
      <c r="P651" s="6"/>
      <c r="Q651" s="6"/>
      <c r="R651" s="6"/>
      <c r="S651" s="6"/>
      <c r="T651" s="6"/>
      <c r="U651" s="6"/>
      <c r="V651" s="6"/>
      <c r="W651" s="6"/>
      <c r="X651" s="6"/>
      <c r="Y651" s="6"/>
      <c r="Z651" s="6"/>
      <c r="AA651" s="6"/>
    </row>
    <row r="652" ht="15.75" customHeight="1">
      <c r="A652" s="59"/>
      <c r="B652" s="59"/>
      <c r="C652" s="59"/>
      <c r="D652" s="59"/>
      <c r="E652" s="59"/>
      <c r="F652" s="59"/>
      <c r="G652" s="59"/>
      <c r="H652" s="59"/>
      <c r="I652" s="59"/>
      <c r="J652" s="59"/>
      <c r="K652" s="59"/>
      <c r="L652" s="59"/>
      <c r="M652" s="59"/>
      <c r="N652" s="59"/>
      <c r="O652" s="7"/>
      <c r="P652" s="6"/>
      <c r="Q652" s="6"/>
      <c r="R652" s="6"/>
      <c r="S652" s="6"/>
      <c r="T652" s="6"/>
      <c r="U652" s="6"/>
      <c r="V652" s="6"/>
      <c r="W652" s="6"/>
      <c r="X652" s="6"/>
      <c r="Y652" s="6"/>
      <c r="Z652" s="6"/>
      <c r="AA652" s="6"/>
    </row>
    <row r="653" ht="15.75" customHeight="1">
      <c r="A653" s="59"/>
      <c r="B653" s="59"/>
      <c r="C653" s="59"/>
      <c r="D653" s="59"/>
      <c r="E653" s="59"/>
      <c r="F653" s="59"/>
      <c r="G653" s="59"/>
      <c r="H653" s="59"/>
      <c r="I653" s="59"/>
      <c r="J653" s="59"/>
      <c r="K653" s="59"/>
      <c r="L653" s="59"/>
      <c r="M653" s="59"/>
      <c r="N653" s="59"/>
      <c r="O653" s="7"/>
      <c r="P653" s="6"/>
      <c r="Q653" s="6"/>
      <c r="R653" s="6"/>
      <c r="S653" s="6"/>
      <c r="T653" s="6"/>
      <c r="U653" s="6"/>
      <c r="V653" s="6"/>
      <c r="W653" s="6"/>
      <c r="X653" s="6"/>
      <c r="Y653" s="6"/>
      <c r="Z653" s="6"/>
      <c r="AA653" s="6"/>
    </row>
    <row r="654" ht="15.75" customHeight="1">
      <c r="A654" s="59"/>
      <c r="B654" s="59"/>
      <c r="C654" s="59"/>
      <c r="D654" s="59"/>
      <c r="E654" s="59"/>
      <c r="F654" s="59"/>
      <c r="G654" s="59"/>
      <c r="H654" s="59"/>
      <c r="I654" s="59"/>
      <c r="J654" s="59"/>
      <c r="K654" s="59"/>
      <c r="L654" s="59"/>
      <c r="M654" s="59"/>
      <c r="N654" s="59"/>
      <c r="O654" s="7"/>
      <c r="P654" s="6"/>
      <c r="Q654" s="6"/>
      <c r="R654" s="6"/>
      <c r="S654" s="6"/>
      <c r="T654" s="6"/>
      <c r="U654" s="6"/>
      <c r="V654" s="6"/>
      <c r="W654" s="6"/>
      <c r="X654" s="6"/>
      <c r="Y654" s="6"/>
      <c r="Z654" s="6"/>
      <c r="AA654" s="6"/>
    </row>
    <row r="655" ht="15.75" customHeight="1">
      <c r="A655" s="59"/>
      <c r="B655" s="59"/>
      <c r="C655" s="59"/>
      <c r="D655" s="59"/>
      <c r="E655" s="59"/>
      <c r="F655" s="59"/>
      <c r="G655" s="59"/>
      <c r="H655" s="59"/>
      <c r="I655" s="59"/>
      <c r="J655" s="59"/>
      <c r="K655" s="59"/>
      <c r="L655" s="59"/>
      <c r="M655" s="59"/>
      <c r="N655" s="59"/>
      <c r="O655" s="7"/>
      <c r="P655" s="6"/>
      <c r="Q655" s="6"/>
      <c r="R655" s="6"/>
      <c r="S655" s="6"/>
      <c r="T655" s="6"/>
      <c r="U655" s="6"/>
      <c r="V655" s="6"/>
      <c r="W655" s="6"/>
      <c r="X655" s="6"/>
      <c r="Y655" s="6"/>
      <c r="Z655" s="6"/>
      <c r="AA655" s="6"/>
    </row>
    <row r="656" ht="15.75" customHeight="1">
      <c r="A656" s="59"/>
      <c r="B656" s="59"/>
      <c r="C656" s="59"/>
      <c r="D656" s="59"/>
      <c r="E656" s="59"/>
      <c r="F656" s="59"/>
      <c r="G656" s="59"/>
      <c r="H656" s="59"/>
      <c r="I656" s="59"/>
      <c r="J656" s="59"/>
      <c r="K656" s="59"/>
      <c r="L656" s="59"/>
      <c r="M656" s="59"/>
      <c r="N656" s="59"/>
      <c r="O656" s="7"/>
      <c r="P656" s="6"/>
      <c r="Q656" s="6"/>
      <c r="R656" s="6"/>
      <c r="S656" s="6"/>
      <c r="T656" s="6"/>
      <c r="U656" s="6"/>
      <c r="V656" s="6"/>
      <c r="W656" s="6"/>
      <c r="X656" s="6"/>
      <c r="Y656" s="6"/>
      <c r="Z656" s="6"/>
      <c r="AA656" s="6"/>
    </row>
    <row r="657" ht="15.75" customHeight="1">
      <c r="A657" s="59"/>
      <c r="B657" s="59"/>
      <c r="C657" s="59"/>
      <c r="D657" s="59"/>
      <c r="E657" s="59"/>
      <c r="F657" s="59"/>
      <c r="G657" s="59"/>
      <c r="H657" s="59"/>
      <c r="I657" s="59"/>
      <c r="J657" s="59"/>
      <c r="K657" s="59"/>
      <c r="L657" s="59"/>
      <c r="M657" s="59"/>
      <c r="N657" s="59"/>
      <c r="O657" s="7"/>
      <c r="P657" s="6"/>
      <c r="Q657" s="6"/>
      <c r="R657" s="6"/>
      <c r="S657" s="6"/>
      <c r="T657" s="6"/>
      <c r="U657" s="6"/>
      <c r="V657" s="6"/>
      <c r="W657" s="6"/>
      <c r="X657" s="6"/>
      <c r="Y657" s="6"/>
      <c r="Z657" s="6"/>
      <c r="AA657" s="6"/>
    </row>
    <row r="658" ht="15.75" customHeight="1">
      <c r="A658" s="59"/>
      <c r="B658" s="59"/>
      <c r="C658" s="59"/>
      <c r="D658" s="59"/>
      <c r="E658" s="59"/>
      <c r="F658" s="59"/>
      <c r="G658" s="59"/>
      <c r="H658" s="59"/>
      <c r="I658" s="59"/>
      <c r="J658" s="59"/>
      <c r="K658" s="59"/>
      <c r="L658" s="59"/>
      <c r="M658" s="59"/>
      <c r="N658" s="59"/>
      <c r="O658" s="7"/>
      <c r="P658" s="6"/>
      <c r="Q658" s="6"/>
      <c r="R658" s="6"/>
      <c r="S658" s="6"/>
      <c r="T658" s="6"/>
      <c r="U658" s="6"/>
      <c r="V658" s="6"/>
      <c r="W658" s="6"/>
      <c r="X658" s="6"/>
      <c r="Y658" s="6"/>
      <c r="Z658" s="6"/>
      <c r="AA658" s="6"/>
    </row>
    <row r="659" ht="15.75" customHeight="1">
      <c r="A659" s="59"/>
      <c r="B659" s="59"/>
      <c r="C659" s="59"/>
      <c r="D659" s="59"/>
      <c r="E659" s="59"/>
      <c r="F659" s="59"/>
      <c r="G659" s="59"/>
      <c r="H659" s="59"/>
      <c r="I659" s="59"/>
      <c r="J659" s="59"/>
      <c r="K659" s="59"/>
      <c r="L659" s="59"/>
      <c r="M659" s="59"/>
      <c r="N659" s="59"/>
      <c r="O659" s="7"/>
      <c r="P659" s="6"/>
      <c r="Q659" s="6"/>
      <c r="R659" s="6"/>
      <c r="S659" s="6"/>
      <c r="T659" s="6"/>
      <c r="U659" s="6"/>
      <c r="V659" s="6"/>
      <c r="W659" s="6"/>
      <c r="X659" s="6"/>
      <c r="Y659" s="6"/>
      <c r="Z659" s="6"/>
      <c r="AA659" s="6"/>
    </row>
    <row r="660" ht="15.75" customHeight="1">
      <c r="A660" s="59"/>
      <c r="B660" s="59"/>
      <c r="C660" s="59"/>
      <c r="D660" s="59"/>
      <c r="E660" s="59"/>
      <c r="F660" s="59"/>
      <c r="G660" s="59"/>
      <c r="H660" s="59"/>
      <c r="I660" s="59"/>
      <c r="J660" s="59"/>
      <c r="K660" s="59"/>
      <c r="L660" s="59"/>
      <c r="M660" s="59"/>
      <c r="N660" s="59"/>
      <c r="O660" s="7"/>
      <c r="P660" s="6"/>
      <c r="Q660" s="6"/>
      <c r="R660" s="6"/>
      <c r="S660" s="6"/>
      <c r="T660" s="6"/>
      <c r="U660" s="6"/>
      <c r="V660" s="6"/>
      <c r="W660" s="6"/>
      <c r="X660" s="6"/>
      <c r="Y660" s="6"/>
      <c r="Z660" s="6"/>
      <c r="AA660" s="6"/>
    </row>
    <row r="661" ht="15.75" customHeight="1">
      <c r="A661" s="59"/>
      <c r="B661" s="59"/>
      <c r="C661" s="59"/>
      <c r="D661" s="59"/>
      <c r="E661" s="59"/>
      <c r="F661" s="59"/>
      <c r="G661" s="59"/>
      <c r="H661" s="59"/>
      <c r="I661" s="59"/>
      <c r="J661" s="59"/>
      <c r="K661" s="59"/>
      <c r="L661" s="59"/>
      <c r="M661" s="59"/>
      <c r="N661" s="59"/>
      <c r="O661" s="7"/>
      <c r="P661" s="6"/>
      <c r="Q661" s="6"/>
      <c r="R661" s="6"/>
      <c r="S661" s="6"/>
      <c r="T661" s="6"/>
      <c r="U661" s="6"/>
      <c r="V661" s="6"/>
      <c r="W661" s="6"/>
      <c r="X661" s="6"/>
      <c r="Y661" s="6"/>
      <c r="Z661" s="6"/>
      <c r="AA661" s="6"/>
    </row>
    <row r="662" ht="15.75" customHeight="1">
      <c r="A662" s="59"/>
      <c r="B662" s="59"/>
      <c r="C662" s="59"/>
      <c r="D662" s="59"/>
      <c r="E662" s="59"/>
      <c r="F662" s="59"/>
      <c r="G662" s="59"/>
      <c r="H662" s="59"/>
      <c r="I662" s="59"/>
      <c r="J662" s="59"/>
      <c r="K662" s="59"/>
      <c r="L662" s="59"/>
      <c r="M662" s="59"/>
      <c r="N662" s="59"/>
      <c r="O662" s="7"/>
      <c r="P662" s="6"/>
      <c r="Q662" s="6"/>
      <c r="R662" s="6"/>
      <c r="S662" s="6"/>
      <c r="T662" s="6"/>
      <c r="U662" s="6"/>
      <c r="V662" s="6"/>
      <c r="W662" s="6"/>
      <c r="X662" s="6"/>
      <c r="Y662" s="6"/>
      <c r="Z662" s="6"/>
      <c r="AA662" s="6"/>
    </row>
    <row r="663" ht="15.75" customHeight="1">
      <c r="A663" s="59"/>
      <c r="B663" s="59"/>
      <c r="C663" s="59"/>
      <c r="D663" s="59"/>
      <c r="E663" s="59"/>
      <c r="F663" s="59"/>
      <c r="G663" s="59"/>
      <c r="H663" s="59"/>
      <c r="I663" s="59"/>
      <c r="J663" s="59"/>
      <c r="K663" s="59"/>
      <c r="L663" s="59"/>
      <c r="M663" s="59"/>
      <c r="N663" s="59"/>
      <c r="O663" s="7"/>
      <c r="P663" s="6"/>
      <c r="Q663" s="6"/>
      <c r="R663" s="6"/>
      <c r="S663" s="6"/>
      <c r="T663" s="6"/>
      <c r="U663" s="6"/>
      <c r="V663" s="6"/>
      <c r="W663" s="6"/>
      <c r="X663" s="6"/>
      <c r="Y663" s="6"/>
      <c r="Z663" s="6"/>
      <c r="AA663" s="6"/>
    </row>
    <row r="664" ht="15.75" customHeight="1">
      <c r="A664" s="59"/>
      <c r="B664" s="59"/>
      <c r="C664" s="59"/>
      <c r="D664" s="59"/>
      <c r="E664" s="59"/>
      <c r="F664" s="59"/>
      <c r="G664" s="59"/>
      <c r="H664" s="59"/>
      <c r="I664" s="59"/>
      <c r="J664" s="59"/>
      <c r="K664" s="59"/>
      <c r="L664" s="59"/>
      <c r="M664" s="59"/>
      <c r="N664" s="59"/>
      <c r="O664" s="7"/>
      <c r="P664" s="6"/>
      <c r="Q664" s="6"/>
      <c r="R664" s="6"/>
      <c r="S664" s="6"/>
      <c r="T664" s="6"/>
      <c r="U664" s="6"/>
      <c r="V664" s="6"/>
      <c r="W664" s="6"/>
      <c r="X664" s="6"/>
      <c r="Y664" s="6"/>
      <c r="Z664" s="6"/>
      <c r="AA664" s="6"/>
    </row>
    <row r="665" ht="15.75" customHeight="1">
      <c r="A665" s="59"/>
      <c r="B665" s="59"/>
      <c r="C665" s="59"/>
      <c r="D665" s="59"/>
      <c r="E665" s="59"/>
      <c r="F665" s="59"/>
      <c r="G665" s="59"/>
      <c r="H665" s="59"/>
      <c r="I665" s="59"/>
      <c r="J665" s="59"/>
      <c r="K665" s="59"/>
      <c r="L665" s="59"/>
      <c r="M665" s="59"/>
      <c r="N665" s="59"/>
      <c r="O665" s="7"/>
      <c r="P665" s="6"/>
      <c r="Q665" s="6"/>
      <c r="R665" s="6"/>
      <c r="S665" s="6"/>
      <c r="T665" s="6"/>
      <c r="U665" s="6"/>
      <c r="V665" s="6"/>
      <c r="W665" s="6"/>
      <c r="X665" s="6"/>
      <c r="Y665" s="6"/>
      <c r="Z665" s="6"/>
      <c r="AA665" s="6"/>
    </row>
    <row r="666" ht="15.75" customHeight="1">
      <c r="A666" s="59"/>
      <c r="B666" s="59"/>
      <c r="C666" s="59"/>
      <c r="D666" s="59"/>
      <c r="E666" s="59"/>
      <c r="F666" s="59"/>
      <c r="G666" s="59"/>
      <c r="H666" s="59"/>
      <c r="I666" s="59"/>
      <c r="J666" s="59"/>
      <c r="K666" s="59"/>
      <c r="L666" s="59"/>
      <c r="M666" s="59"/>
      <c r="N666" s="59"/>
      <c r="O666" s="7"/>
      <c r="P666" s="6"/>
      <c r="Q666" s="6"/>
      <c r="R666" s="6"/>
      <c r="S666" s="6"/>
      <c r="T666" s="6"/>
      <c r="U666" s="6"/>
      <c r="V666" s="6"/>
      <c r="W666" s="6"/>
      <c r="X666" s="6"/>
      <c r="Y666" s="6"/>
      <c r="Z666" s="6"/>
      <c r="AA666" s="6"/>
    </row>
    <row r="667" ht="15.75" customHeight="1">
      <c r="A667" s="59"/>
      <c r="B667" s="59"/>
      <c r="C667" s="59"/>
      <c r="D667" s="59"/>
      <c r="E667" s="59"/>
      <c r="F667" s="59"/>
      <c r="G667" s="59"/>
      <c r="H667" s="59"/>
      <c r="I667" s="59"/>
      <c r="J667" s="59"/>
      <c r="K667" s="59"/>
      <c r="L667" s="59"/>
      <c r="M667" s="59"/>
      <c r="N667" s="59"/>
      <c r="O667" s="7"/>
      <c r="P667" s="6"/>
      <c r="Q667" s="6"/>
      <c r="R667" s="6"/>
      <c r="S667" s="6"/>
      <c r="T667" s="6"/>
      <c r="U667" s="6"/>
      <c r="V667" s="6"/>
      <c r="W667" s="6"/>
      <c r="X667" s="6"/>
      <c r="Y667" s="6"/>
      <c r="Z667" s="6"/>
      <c r="AA667" s="6"/>
    </row>
    <row r="668" ht="15.75" customHeight="1">
      <c r="A668" s="59"/>
      <c r="B668" s="59"/>
      <c r="C668" s="59"/>
      <c r="D668" s="59"/>
      <c r="E668" s="59"/>
      <c r="F668" s="59"/>
      <c r="G668" s="59"/>
      <c r="H668" s="59"/>
      <c r="I668" s="59"/>
      <c r="J668" s="59"/>
      <c r="K668" s="59"/>
      <c r="L668" s="59"/>
      <c r="M668" s="59"/>
      <c r="N668" s="59"/>
      <c r="O668" s="7"/>
      <c r="P668" s="6"/>
      <c r="Q668" s="6"/>
      <c r="R668" s="6"/>
      <c r="S668" s="6"/>
      <c r="T668" s="6"/>
      <c r="U668" s="6"/>
      <c r="V668" s="6"/>
      <c r="W668" s="6"/>
      <c r="X668" s="6"/>
      <c r="Y668" s="6"/>
      <c r="Z668" s="6"/>
      <c r="AA668" s="6"/>
    </row>
    <row r="669" ht="15.75" customHeight="1">
      <c r="A669" s="59"/>
      <c r="B669" s="59"/>
      <c r="C669" s="59"/>
      <c r="D669" s="59"/>
      <c r="E669" s="59"/>
      <c r="F669" s="59"/>
      <c r="G669" s="59"/>
      <c r="H669" s="59"/>
      <c r="I669" s="59"/>
      <c r="J669" s="59"/>
      <c r="K669" s="59"/>
      <c r="L669" s="59"/>
      <c r="M669" s="59"/>
      <c r="N669" s="59"/>
      <c r="O669" s="7"/>
      <c r="P669" s="6"/>
      <c r="Q669" s="6"/>
      <c r="R669" s="6"/>
      <c r="S669" s="6"/>
      <c r="T669" s="6"/>
      <c r="U669" s="6"/>
      <c r="V669" s="6"/>
      <c r="W669" s="6"/>
      <c r="X669" s="6"/>
      <c r="Y669" s="6"/>
      <c r="Z669" s="6"/>
      <c r="AA669" s="6"/>
    </row>
    <row r="670" ht="15.75" customHeight="1">
      <c r="A670" s="59"/>
      <c r="B670" s="59"/>
      <c r="C670" s="59"/>
      <c r="D670" s="59"/>
      <c r="E670" s="59"/>
      <c r="F670" s="59"/>
      <c r="G670" s="59"/>
      <c r="H670" s="59"/>
      <c r="I670" s="59"/>
      <c r="J670" s="59"/>
      <c r="K670" s="59"/>
      <c r="L670" s="59"/>
      <c r="M670" s="59"/>
      <c r="N670" s="59"/>
      <c r="O670" s="7"/>
      <c r="P670" s="6"/>
      <c r="Q670" s="6"/>
      <c r="R670" s="6"/>
      <c r="S670" s="6"/>
      <c r="T670" s="6"/>
      <c r="U670" s="6"/>
      <c r="V670" s="6"/>
      <c r="W670" s="6"/>
      <c r="X670" s="6"/>
      <c r="Y670" s="6"/>
      <c r="Z670" s="6"/>
      <c r="AA670" s="6"/>
    </row>
    <row r="671" ht="15.75" customHeight="1">
      <c r="A671" s="59"/>
      <c r="B671" s="59"/>
      <c r="C671" s="59"/>
      <c r="D671" s="59"/>
      <c r="E671" s="59"/>
      <c r="F671" s="59"/>
      <c r="G671" s="59"/>
      <c r="H671" s="59"/>
      <c r="I671" s="59"/>
      <c r="J671" s="59"/>
      <c r="K671" s="59"/>
      <c r="L671" s="59"/>
      <c r="M671" s="59"/>
      <c r="N671" s="59"/>
      <c r="O671" s="7"/>
      <c r="P671" s="6"/>
      <c r="Q671" s="6"/>
      <c r="R671" s="6"/>
      <c r="S671" s="6"/>
      <c r="T671" s="6"/>
      <c r="U671" s="6"/>
      <c r="V671" s="6"/>
      <c r="W671" s="6"/>
      <c r="X671" s="6"/>
      <c r="Y671" s="6"/>
      <c r="Z671" s="6"/>
      <c r="AA671" s="6"/>
    </row>
    <row r="672" ht="15.75" customHeight="1">
      <c r="A672" s="59"/>
      <c r="B672" s="59"/>
      <c r="C672" s="59"/>
      <c r="D672" s="59"/>
      <c r="E672" s="59"/>
      <c r="F672" s="59"/>
      <c r="G672" s="59"/>
      <c r="H672" s="59"/>
      <c r="I672" s="59"/>
      <c r="J672" s="59"/>
      <c r="K672" s="59"/>
      <c r="L672" s="59"/>
      <c r="M672" s="59"/>
      <c r="N672" s="59"/>
      <c r="O672" s="7"/>
      <c r="P672" s="6"/>
      <c r="Q672" s="6"/>
      <c r="R672" s="6"/>
      <c r="S672" s="6"/>
      <c r="T672" s="6"/>
      <c r="U672" s="6"/>
      <c r="V672" s="6"/>
      <c r="W672" s="6"/>
      <c r="X672" s="6"/>
      <c r="Y672" s="6"/>
      <c r="Z672" s="6"/>
      <c r="AA672" s="6"/>
    </row>
    <row r="673" ht="15.75" customHeight="1">
      <c r="A673" s="59"/>
      <c r="B673" s="59"/>
      <c r="C673" s="59"/>
      <c r="D673" s="59"/>
      <c r="E673" s="59"/>
      <c r="F673" s="59"/>
      <c r="G673" s="59"/>
      <c r="H673" s="59"/>
      <c r="I673" s="59"/>
      <c r="J673" s="59"/>
      <c r="K673" s="59"/>
      <c r="L673" s="59"/>
      <c r="M673" s="59"/>
      <c r="N673" s="59"/>
      <c r="O673" s="7"/>
      <c r="P673" s="6"/>
      <c r="Q673" s="6"/>
      <c r="R673" s="6"/>
      <c r="S673" s="6"/>
      <c r="T673" s="6"/>
      <c r="U673" s="6"/>
      <c r="V673" s="6"/>
      <c r="W673" s="6"/>
      <c r="X673" s="6"/>
      <c r="Y673" s="6"/>
      <c r="Z673" s="6"/>
      <c r="AA673" s="6"/>
    </row>
    <row r="674" ht="15.75" customHeight="1">
      <c r="A674" s="59"/>
      <c r="B674" s="59"/>
      <c r="C674" s="59"/>
      <c r="D674" s="59"/>
      <c r="E674" s="59"/>
      <c r="F674" s="59"/>
      <c r="G674" s="59"/>
      <c r="H674" s="59"/>
      <c r="I674" s="59"/>
      <c r="J674" s="59"/>
      <c r="K674" s="59"/>
      <c r="L674" s="59"/>
      <c r="M674" s="59"/>
      <c r="N674" s="59"/>
      <c r="O674" s="7"/>
      <c r="P674" s="6"/>
      <c r="Q674" s="6"/>
      <c r="R674" s="6"/>
      <c r="S674" s="6"/>
      <c r="T674" s="6"/>
      <c r="U674" s="6"/>
      <c r="V674" s="6"/>
      <c r="W674" s="6"/>
      <c r="X674" s="6"/>
      <c r="Y674" s="6"/>
      <c r="Z674" s="6"/>
      <c r="AA674" s="6"/>
    </row>
    <row r="675" ht="15.75" customHeight="1">
      <c r="A675" s="59"/>
      <c r="B675" s="59"/>
      <c r="C675" s="59"/>
      <c r="D675" s="59"/>
      <c r="E675" s="59"/>
      <c r="F675" s="59"/>
      <c r="G675" s="59"/>
      <c r="H675" s="59"/>
      <c r="I675" s="59"/>
      <c r="J675" s="59"/>
      <c r="K675" s="59"/>
      <c r="L675" s="59"/>
      <c r="M675" s="59"/>
      <c r="N675" s="59"/>
      <c r="O675" s="7"/>
      <c r="P675" s="6"/>
      <c r="Q675" s="6"/>
      <c r="R675" s="6"/>
      <c r="S675" s="6"/>
      <c r="T675" s="6"/>
      <c r="U675" s="6"/>
      <c r="V675" s="6"/>
      <c r="W675" s="6"/>
      <c r="X675" s="6"/>
      <c r="Y675" s="6"/>
      <c r="Z675" s="6"/>
      <c r="AA675" s="6"/>
    </row>
    <row r="676" ht="15.75" customHeight="1">
      <c r="A676" s="59"/>
      <c r="B676" s="59"/>
      <c r="C676" s="59"/>
      <c r="D676" s="59"/>
      <c r="E676" s="59"/>
      <c r="F676" s="59"/>
      <c r="G676" s="59"/>
      <c r="H676" s="59"/>
      <c r="I676" s="59"/>
      <c r="J676" s="59"/>
      <c r="K676" s="59"/>
      <c r="L676" s="59"/>
      <c r="M676" s="59"/>
      <c r="N676" s="59"/>
      <c r="O676" s="7"/>
      <c r="P676" s="6"/>
      <c r="Q676" s="6"/>
      <c r="R676" s="6"/>
      <c r="S676" s="6"/>
      <c r="T676" s="6"/>
      <c r="U676" s="6"/>
      <c r="V676" s="6"/>
      <c r="W676" s="6"/>
      <c r="X676" s="6"/>
      <c r="Y676" s="6"/>
      <c r="Z676" s="6"/>
      <c r="AA676" s="6"/>
    </row>
    <row r="677" ht="15.75" customHeight="1">
      <c r="A677" s="59"/>
      <c r="B677" s="59"/>
      <c r="C677" s="59"/>
      <c r="D677" s="59"/>
      <c r="E677" s="59"/>
      <c r="F677" s="59"/>
      <c r="G677" s="59"/>
      <c r="H677" s="59"/>
      <c r="I677" s="59"/>
      <c r="J677" s="59"/>
      <c r="K677" s="59"/>
      <c r="L677" s="59"/>
      <c r="M677" s="59"/>
      <c r="N677" s="59"/>
      <c r="O677" s="7"/>
      <c r="P677" s="6"/>
      <c r="Q677" s="6"/>
      <c r="R677" s="6"/>
      <c r="S677" s="6"/>
      <c r="T677" s="6"/>
      <c r="U677" s="6"/>
      <c r="V677" s="6"/>
      <c r="W677" s="6"/>
      <c r="X677" s="6"/>
      <c r="Y677" s="6"/>
      <c r="Z677" s="6"/>
      <c r="AA677" s="6"/>
    </row>
    <row r="678" ht="15.75" customHeight="1">
      <c r="A678" s="59"/>
      <c r="B678" s="59"/>
      <c r="C678" s="59"/>
      <c r="D678" s="59"/>
      <c r="E678" s="59"/>
      <c r="F678" s="59"/>
      <c r="G678" s="59"/>
      <c r="H678" s="59"/>
      <c r="I678" s="59"/>
      <c r="J678" s="59"/>
      <c r="K678" s="59"/>
      <c r="L678" s="59"/>
      <c r="M678" s="59"/>
      <c r="N678" s="59"/>
      <c r="O678" s="7"/>
      <c r="P678" s="6"/>
      <c r="Q678" s="6"/>
      <c r="R678" s="6"/>
      <c r="S678" s="6"/>
      <c r="T678" s="6"/>
      <c r="U678" s="6"/>
      <c r="V678" s="6"/>
      <c r="W678" s="6"/>
      <c r="X678" s="6"/>
      <c r="Y678" s="6"/>
      <c r="Z678" s="6"/>
      <c r="AA678" s="6"/>
    </row>
    <row r="679" ht="15.75" customHeight="1">
      <c r="A679" s="59"/>
      <c r="B679" s="59"/>
      <c r="C679" s="59"/>
      <c r="D679" s="59"/>
      <c r="E679" s="59"/>
      <c r="F679" s="59"/>
      <c r="G679" s="59"/>
      <c r="H679" s="59"/>
      <c r="I679" s="59"/>
      <c r="J679" s="59"/>
      <c r="K679" s="59"/>
      <c r="L679" s="59"/>
      <c r="M679" s="59"/>
      <c r="N679" s="59"/>
      <c r="O679" s="7"/>
      <c r="P679" s="6"/>
      <c r="Q679" s="6"/>
      <c r="R679" s="6"/>
      <c r="S679" s="6"/>
      <c r="T679" s="6"/>
      <c r="U679" s="6"/>
      <c r="V679" s="6"/>
      <c r="W679" s="6"/>
      <c r="X679" s="6"/>
      <c r="Y679" s="6"/>
      <c r="Z679" s="6"/>
      <c r="AA679" s="6"/>
    </row>
    <row r="680" ht="15.75" customHeight="1">
      <c r="A680" s="59"/>
      <c r="B680" s="59"/>
      <c r="C680" s="59"/>
      <c r="D680" s="59"/>
      <c r="E680" s="59"/>
      <c r="F680" s="59"/>
      <c r="G680" s="59"/>
      <c r="H680" s="59"/>
      <c r="I680" s="59"/>
      <c r="J680" s="59"/>
      <c r="K680" s="59"/>
      <c r="L680" s="59"/>
      <c r="M680" s="59"/>
      <c r="N680" s="59"/>
      <c r="O680" s="7"/>
      <c r="P680" s="6"/>
      <c r="Q680" s="6"/>
      <c r="R680" s="6"/>
      <c r="S680" s="6"/>
      <c r="T680" s="6"/>
      <c r="U680" s="6"/>
      <c r="V680" s="6"/>
      <c r="W680" s="6"/>
      <c r="X680" s="6"/>
      <c r="Y680" s="6"/>
      <c r="Z680" s="6"/>
      <c r="AA680" s="6"/>
    </row>
    <row r="681" ht="15.75" customHeight="1">
      <c r="A681" s="59"/>
      <c r="B681" s="59"/>
      <c r="C681" s="59"/>
      <c r="D681" s="59"/>
      <c r="E681" s="59"/>
      <c r="F681" s="59"/>
      <c r="G681" s="59"/>
      <c r="H681" s="59"/>
      <c r="I681" s="59"/>
      <c r="J681" s="59"/>
      <c r="K681" s="59"/>
      <c r="L681" s="59"/>
      <c r="M681" s="59"/>
      <c r="N681" s="59"/>
      <c r="O681" s="7"/>
      <c r="P681" s="6"/>
      <c r="Q681" s="6"/>
      <c r="R681" s="6"/>
      <c r="S681" s="6"/>
      <c r="T681" s="6"/>
      <c r="U681" s="6"/>
      <c r="V681" s="6"/>
      <c r="W681" s="6"/>
      <c r="X681" s="6"/>
      <c r="Y681" s="6"/>
      <c r="Z681" s="6"/>
      <c r="AA681" s="6"/>
    </row>
    <row r="682" ht="15.75" customHeight="1">
      <c r="A682" s="59"/>
      <c r="B682" s="59"/>
      <c r="C682" s="59"/>
      <c r="D682" s="59"/>
      <c r="E682" s="59"/>
      <c r="F682" s="59"/>
      <c r="G682" s="59"/>
      <c r="H682" s="59"/>
      <c r="I682" s="59"/>
      <c r="J682" s="59"/>
      <c r="K682" s="59"/>
      <c r="L682" s="59"/>
      <c r="M682" s="59"/>
      <c r="N682" s="59"/>
      <c r="O682" s="7"/>
      <c r="P682" s="6"/>
      <c r="Q682" s="6"/>
      <c r="R682" s="6"/>
      <c r="S682" s="6"/>
      <c r="T682" s="6"/>
      <c r="U682" s="6"/>
      <c r="V682" s="6"/>
      <c r="W682" s="6"/>
      <c r="X682" s="6"/>
      <c r="Y682" s="6"/>
      <c r="Z682" s="6"/>
      <c r="AA682" s="6"/>
    </row>
    <row r="683" ht="15.75" customHeight="1">
      <c r="A683" s="59"/>
      <c r="B683" s="59"/>
      <c r="C683" s="59"/>
      <c r="D683" s="59"/>
      <c r="E683" s="59"/>
      <c r="F683" s="59"/>
      <c r="G683" s="59"/>
      <c r="H683" s="59"/>
      <c r="I683" s="59"/>
      <c r="J683" s="59"/>
      <c r="K683" s="59"/>
      <c r="L683" s="59"/>
      <c r="M683" s="59"/>
      <c r="N683" s="59"/>
      <c r="O683" s="7"/>
      <c r="P683" s="6"/>
      <c r="Q683" s="6"/>
      <c r="R683" s="6"/>
      <c r="S683" s="6"/>
      <c r="T683" s="6"/>
      <c r="U683" s="6"/>
      <c r="V683" s="6"/>
      <c r="W683" s="6"/>
      <c r="X683" s="6"/>
      <c r="Y683" s="6"/>
      <c r="Z683" s="6"/>
      <c r="AA683" s="6"/>
    </row>
    <row r="684" ht="15.75" customHeight="1">
      <c r="A684" s="59"/>
      <c r="B684" s="59"/>
      <c r="C684" s="59"/>
      <c r="D684" s="59"/>
      <c r="E684" s="59"/>
      <c r="F684" s="59"/>
      <c r="G684" s="59"/>
      <c r="H684" s="59"/>
      <c r="I684" s="59"/>
      <c r="J684" s="59"/>
      <c r="K684" s="59"/>
      <c r="L684" s="59"/>
      <c r="M684" s="59"/>
      <c r="N684" s="59"/>
      <c r="O684" s="7"/>
      <c r="P684" s="6"/>
      <c r="Q684" s="6"/>
      <c r="R684" s="6"/>
      <c r="S684" s="6"/>
      <c r="T684" s="6"/>
      <c r="U684" s="6"/>
      <c r="V684" s="6"/>
      <c r="W684" s="6"/>
      <c r="X684" s="6"/>
      <c r="Y684" s="6"/>
      <c r="Z684" s="6"/>
      <c r="AA684" s="6"/>
    </row>
    <row r="685" ht="15.75" customHeight="1">
      <c r="A685" s="59"/>
      <c r="B685" s="59"/>
      <c r="C685" s="59"/>
      <c r="D685" s="59"/>
      <c r="E685" s="59"/>
      <c r="F685" s="59"/>
      <c r="G685" s="59"/>
      <c r="H685" s="59"/>
      <c r="I685" s="59"/>
      <c r="J685" s="59"/>
      <c r="K685" s="59"/>
      <c r="L685" s="59"/>
      <c r="M685" s="59"/>
      <c r="N685" s="59"/>
      <c r="O685" s="7"/>
      <c r="P685" s="6"/>
      <c r="Q685" s="6"/>
      <c r="R685" s="6"/>
      <c r="S685" s="6"/>
      <c r="T685" s="6"/>
      <c r="U685" s="6"/>
      <c r="V685" s="6"/>
      <c r="W685" s="6"/>
      <c r="X685" s="6"/>
      <c r="Y685" s="6"/>
      <c r="Z685" s="6"/>
      <c r="AA685" s="6"/>
    </row>
    <row r="686" ht="15.75" customHeight="1">
      <c r="A686" s="59"/>
      <c r="B686" s="59"/>
      <c r="C686" s="59"/>
      <c r="D686" s="59"/>
      <c r="E686" s="59"/>
      <c r="F686" s="59"/>
      <c r="G686" s="59"/>
      <c r="H686" s="59"/>
      <c r="I686" s="59"/>
      <c r="J686" s="59"/>
      <c r="K686" s="59"/>
      <c r="L686" s="59"/>
      <c r="M686" s="59"/>
      <c r="N686" s="59"/>
      <c r="O686" s="7"/>
      <c r="P686" s="6"/>
      <c r="Q686" s="6"/>
      <c r="R686" s="6"/>
      <c r="S686" s="6"/>
      <c r="T686" s="6"/>
      <c r="U686" s="6"/>
      <c r="V686" s="6"/>
      <c r="W686" s="6"/>
      <c r="X686" s="6"/>
      <c r="Y686" s="6"/>
      <c r="Z686" s="6"/>
      <c r="AA686" s="6"/>
    </row>
    <row r="687" ht="15.75" customHeight="1">
      <c r="A687" s="59"/>
      <c r="B687" s="59"/>
      <c r="C687" s="59"/>
      <c r="D687" s="59"/>
      <c r="E687" s="59"/>
      <c r="F687" s="59"/>
      <c r="G687" s="59"/>
      <c r="H687" s="59"/>
      <c r="I687" s="59"/>
      <c r="J687" s="59"/>
      <c r="K687" s="59"/>
      <c r="L687" s="59"/>
      <c r="M687" s="59"/>
      <c r="N687" s="59"/>
      <c r="O687" s="7"/>
      <c r="P687" s="6"/>
      <c r="Q687" s="6"/>
      <c r="R687" s="6"/>
      <c r="S687" s="6"/>
      <c r="T687" s="6"/>
      <c r="U687" s="6"/>
      <c r="V687" s="6"/>
      <c r="W687" s="6"/>
      <c r="X687" s="6"/>
      <c r="Y687" s="6"/>
      <c r="Z687" s="6"/>
      <c r="AA687" s="6"/>
    </row>
    <row r="688" ht="15.75" customHeight="1">
      <c r="A688" s="59"/>
      <c r="B688" s="59"/>
      <c r="C688" s="59"/>
      <c r="D688" s="59"/>
      <c r="E688" s="59"/>
      <c r="F688" s="59"/>
      <c r="G688" s="59"/>
      <c r="H688" s="59"/>
      <c r="I688" s="59"/>
      <c r="J688" s="59"/>
      <c r="K688" s="59"/>
      <c r="L688" s="59"/>
      <c r="M688" s="59"/>
      <c r="N688" s="59"/>
      <c r="O688" s="7"/>
      <c r="P688" s="6"/>
      <c r="Q688" s="6"/>
      <c r="R688" s="6"/>
      <c r="S688" s="6"/>
      <c r="T688" s="6"/>
      <c r="U688" s="6"/>
      <c r="V688" s="6"/>
      <c r="W688" s="6"/>
      <c r="X688" s="6"/>
      <c r="Y688" s="6"/>
      <c r="Z688" s="6"/>
      <c r="AA688" s="6"/>
    </row>
    <row r="689" ht="15.75" customHeight="1">
      <c r="A689" s="59"/>
      <c r="B689" s="59"/>
      <c r="C689" s="59"/>
      <c r="D689" s="59"/>
      <c r="E689" s="59"/>
      <c r="F689" s="59"/>
      <c r="G689" s="59"/>
      <c r="H689" s="59"/>
      <c r="I689" s="59"/>
      <c r="J689" s="59"/>
      <c r="K689" s="59"/>
      <c r="L689" s="59"/>
      <c r="M689" s="59"/>
      <c r="N689" s="59"/>
      <c r="O689" s="7"/>
      <c r="P689" s="6"/>
      <c r="Q689" s="6"/>
      <c r="R689" s="6"/>
      <c r="S689" s="6"/>
      <c r="T689" s="6"/>
      <c r="U689" s="6"/>
      <c r="V689" s="6"/>
      <c r="W689" s="6"/>
      <c r="X689" s="6"/>
      <c r="Y689" s="6"/>
      <c r="Z689" s="6"/>
      <c r="AA689" s="6"/>
    </row>
    <row r="690" ht="15.75" customHeight="1">
      <c r="A690" s="59"/>
      <c r="B690" s="59"/>
      <c r="C690" s="59"/>
      <c r="D690" s="59"/>
      <c r="E690" s="59"/>
      <c r="F690" s="59"/>
      <c r="G690" s="59"/>
      <c r="H690" s="59"/>
      <c r="I690" s="59"/>
      <c r="J690" s="59"/>
      <c r="K690" s="59"/>
      <c r="L690" s="59"/>
      <c r="M690" s="59"/>
      <c r="N690" s="59"/>
      <c r="O690" s="7"/>
      <c r="P690" s="6"/>
      <c r="Q690" s="6"/>
      <c r="R690" s="6"/>
      <c r="S690" s="6"/>
      <c r="T690" s="6"/>
      <c r="U690" s="6"/>
      <c r="V690" s="6"/>
      <c r="W690" s="6"/>
      <c r="X690" s="6"/>
      <c r="Y690" s="6"/>
      <c r="Z690" s="6"/>
      <c r="AA690" s="6"/>
    </row>
    <row r="691" ht="15.75" customHeight="1">
      <c r="A691" s="59"/>
      <c r="B691" s="59"/>
      <c r="C691" s="59"/>
      <c r="D691" s="59"/>
      <c r="E691" s="59"/>
      <c r="F691" s="59"/>
      <c r="G691" s="59"/>
      <c r="H691" s="59"/>
      <c r="I691" s="59"/>
      <c r="J691" s="59"/>
      <c r="K691" s="59"/>
      <c r="L691" s="59"/>
      <c r="M691" s="59"/>
      <c r="N691" s="59"/>
      <c r="O691" s="7"/>
      <c r="P691" s="6"/>
      <c r="Q691" s="6"/>
      <c r="R691" s="6"/>
      <c r="S691" s="6"/>
      <c r="T691" s="6"/>
      <c r="U691" s="6"/>
      <c r="V691" s="6"/>
      <c r="W691" s="6"/>
      <c r="X691" s="6"/>
      <c r="Y691" s="6"/>
      <c r="Z691" s="6"/>
      <c r="AA691" s="6"/>
    </row>
    <row r="692" ht="15.75" customHeight="1">
      <c r="A692" s="59"/>
      <c r="B692" s="59"/>
      <c r="C692" s="59"/>
      <c r="D692" s="59"/>
      <c r="E692" s="59"/>
      <c r="F692" s="59"/>
      <c r="G692" s="59"/>
      <c r="H692" s="59"/>
      <c r="I692" s="59"/>
      <c r="J692" s="59"/>
      <c r="K692" s="59"/>
      <c r="L692" s="59"/>
      <c r="M692" s="59"/>
      <c r="N692" s="59"/>
      <c r="O692" s="7"/>
      <c r="P692" s="6"/>
      <c r="Q692" s="6"/>
      <c r="R692" s="6"/>
      <c r="S692" s="6"/>
      <c r="T692" s="6"/>
      <c r="U692" s="6"/>
      <c r="V692" s="6"/>
      <c r="W692" s="6"/>
      <c r="X692" s="6"/>
      <c r="Y692" s="6"/>
      <c r="Z692" s="6"/>
      <c r="AA692" s="6"/>
    </row>
    <row r="693" ht="15.75" customHeight="1">
      <c r="A693" s="59"/>
      <c r="B693" s="59"/>
      <c r="C693" s="59"/>
      <c r="D693" s="59"/>
      <c r="E693" s="59"/>
      <c r="F693" s="59"/>
      <c r="G693" s="59"/>
      <c r="H693" s="59"/>
      <c r="I693" s="59"/>
      <c r="J693" s="59"/>
      <c r="K693" s="59"/>
      <c r="L693" s="59"/>
      <c r="M693" s="59"/>
      <c r="N693" s="59"/>
      <c r="O693" s="7"/>
      <c r="P693" s="6"/>
      <c r="Q693" s="6"/>
      <c r="R693" s="6"/>
      <c r="S693" s="6"/>
      <c r="T693" s="6"/>
      <c r="U693" s="6"/>
      <c r="V693" s="6"/>
      <c r="W693" s="6"/>
      <c r="X693" s="6"/>
      <c r="Y693" s="6"/>
      <c r="Z693" s="6"/>
      <c r="AA693" s="6"/>
    </row>
    <row r="694" ht="15.75" customHeight="1">
      <c r="A694" s="59"/>
      <c r="B694" s="59"/>
      <c r="C694" s="59"/>
      <c r="D694" s="59"/>
      <c r="E694" s="59"/>
      <c r="F694" s="59"/>
      <c r="G694" s="59"/>
      <c r="H694" s="59"/>
      <c r="I694" s="59"/>
      <c r="J694" s="59"/>
      <c r="K694" s="59"/>
      <c r="L694" s="59"/>
      <c r="M694" s="59"/>
      <c r="N694" s="59"/>
      <c r="O694" s="7"/>
      <c r="P694" s="6"/>
      <c r="Q694" s="6"/>
      <c r="R694" s="6"/>
      <c r="S694" s="6"/>
      <c r="T694" s="6"/>
      <c r="U694" s="6"/>
      <c r="V694" s="6"/>
      <c r="W694" s="6"/>
      <c r="X694" s="6"/>
      <c r="Y694" s="6"/>
      <c r="Z694" s="6"/>
      <c r="AA694" s="6"/>
    </row>
    <row r="695" ht="15.75" customHeight="1">
      <c r="A695" s="59"/>
      <c r="B695" s="59"/>
      <c r="C695" s="59"/>
      <c r="D695" s="59"/>
      <c r="E695" s="59"/>
      <c r="F695" s="59"/>
      <c r="G695" s="59"/>
      <c r="H695" s="59"/>
      <c r="I695" s="59"/>
      <c r="J695" s="59"/>
      <c r="K695" s="59"/>
      <c r="L695" s="59"/>
      <c r="M695" s="59"/>
      <c r="N695" s="59"/>
      <c r="O695" s="7"/>
      <c r="P695" s="6"/>
      <c r="Q695" s="6"/>
      <c r="R695" s="6"/>
      <c r="S695" s="6"/>
      <c r="T695" s="6"/>
      <c r="U695" s="6"/>
      <c r="V695" s="6"/>
      <c r="W695" s="6"/>
      <c r="X695" s="6"/>
      <c r="Y695" s="6"/>
      <c r="Z695" s="6"/>
      <c r="AA695" s="6"/>
    </row>
    <row r="696" ht="15.75" customHeight="1">
      <c r="A696" s="59"/>
      <c r="B696" s="59"/>
      <c r="C696" s="59"/>
      <c r="D696" s="59"/>
      <c r="E696" s="59"/>
      <c r="F696" s="59"/>
      <c r="G696" s="59"/>
      <c r="H696" s="59"/>
      <c r="I696" s="59"/>
      <c r="J696" s="59"/>
      <c r="K696" s="59"/>
      <c r="L696" s="59"/>
      <c r="M696" s="59"/>
      <c r="N696" s="59"/>
      <c r="O696" s="7"/>
      <c r="P696" s="6"/>
      <c r="Q696" s="6"/>
      <c r="R696" s="6"/>
      <c r="S696" s="6"/>
      <c r="T696" s="6"/>
      <c r="U696" s="6"/>
      <c r="V696" s="6"/>
      <c r="W696" s="6"/>
      <c r="X696" s="6"/>
      <c r="Y696" s="6"/>
      <c r="Z696" s="6"/>
      <c r="AA696" s="6"/>
    </row>
    <row r="697" ht="15.75" customHeight="1">
      <c r="A697" s="59"/>
      <c r="B697" s="59"/>
      <c r="C697" s="59"/>
      <c r="D697" s="59"/>
      <c r="E697" s="59"/>
      <c r="F697" s="59"/>
      <c r="G697" s="59"/>
      <c r="H697" s="59"/>
      <c r="I697" s="59"/>
      <c r="J697" s="59"/>
      <c r="K697" s="59"/>
      <c r="L697" s="59"/>
      <c r="M697" s="59"/>
      <c r="N697" s="59"/>
      <c r="O697" s="7"/>
      <c r="P697" s="6"/>
      <c r="Q697" s="6"/>
      <c r="R697" s="6"/>
      <c r="S697" s="6"/>
      <c r="T697" s="6"/>
      <c r="U697" s="6"/>
      <c r="V697" s="6"/>
      <c r="W697" s="6"/>
      <c r="X697" s="6"/>
      <c r="Y697" s="6"/>
      <c r="Z697" s="6"/>
      <c r="AA697" s="6"/>
    </row>
    <row r="698" ht="15.75" customHeight="1">
      <c r="A698" s="59"/>
      <c r="B698" s="59"/>
      <c r="C698" s="59"/>
      <c r="D698" s="59"/>
      <c r="E698" s="59"/>
      <c r="F698" s="59"/>
      <c r="G698" s="59"/>
      <c r="H698" s="59"/>
      <c r="I698" s="59"/>
      <c r="J698" s="59"/>
      <c r="K698" s="59"/>
      <c r="L698" s="59"/>
      <c r="M698" s="59"/>
      <c r="N698" s="59"/>
      <c r="O698" s="7"/>
      <c r="P698" s="6"/>
      <c r="Q698" s="6"/>
      <c r="R698" s="6"/>
      <c r="S698" s="6"/>
      <c r="T698" s="6"/>
      <c r="U698" s="6"/>
      <c r="V698" s="6"/>
      <c r="W698" s="6"/>
      <c r="X698" s="6"/>
      <c r="Y698" s="6"/>
      <c r="Z698" s="6"/>
      <c r="AA698" s="6"/>
    </row>
    <row r="699" ht="15.75" customHeight="1">
      <c r="A699" s="59"/>
      <c r="B699" s="59"/>
      <c r="C699" s="59"/>
      <c r="D699" s="59"/>
      <c r="E699" s="59"/>
      <c r="F699" s="59"/>
      <c r="G699" s="59"/>
      <c r="H699" s="59"/>
      <c r="I699" s="59"/>
      <c r="J699" s="59"/>
      <c r="K699" s="59"/>
      <c r="L699" s="59"/>
      <c r="M699" s="59"/>
      <c r="N699" s="59"/>
      <c r="O699" s="7"/>
      <c r="P699" s="6"/>
      <c r="Q699" s="6"/>
      <c r="R699" s="6"/>
      <c r="S699" s="6"/>
      <c r="T699" s="6"/>
      <c r="U699" s="6"/>
      <c r="V699" s="6"/>
      <c r="W699" s="6"/>
      <c r="X699" s="6"/>
      <c r="Y699" s="6"/>
      <c r="Z699" s="6"/>
      <c r="AA699" s="6"/>
    </row>
    <row r="700" ht="15.75" customHeight="1">
      <c r="A700" s="59"/>
      <c r="B700" s="59"/>
      <c r="C700" s="59"/>
      <c r="D700" s="59"/>
      <c r="E700" s="59"/>
      <c r="F700" s="59"/>
      <c r="G700" s="59"/>
      <c r="H700" s="59"/>
      <c r="I700" s="59"/>
      <c r="J700" s="59"/>
      <c r="K700" s="59"/>
      <c r="L700" s="59"/>
      <c r="M700" s="59"/>
      <c r="N700" s="59"/>
      <c r="O700" s="7"/>
      <c r="P700" s="6"/>
      <c r="Q700" s="6"/>
      <c r="R700" s="6"/>
      <c r="S700" s="6"/>
      <c r="T700" s="6"/>
      <c r="U700" s="6"/>
      <c r="V700" s="6"/>
      <c r="W700" s="6"/>
      <c r="X700" s="6"/>
      <c r="Y700" s="6"/>
      <c r="Z700" s="6"/>
      <c r="AA700" s="6"/>
    </row>
    <row r="701" ht="15.75" customHeight="1">
      <c r="A701" s="59"/>
      <c r="B701" s="59"/>
      <c r="C701" s="59"/>
      <c r="D701" s="59"/>
      <c r="E701" s="59"/>
      <c r="F701" s="59"/>
      <c r="G701" s="59"/>
      <c r="H701" s="59"/>
      <c r="I701" s="59"/>
      <c r="J701" s="59"/>
      <c r="K701" s="59"/>
      <c r="L701" s="59"/>
      <c r="M701" s="59"/>
      <c r="N701" s="59"/>
      <c r="O701" s="7"/>
      <c r="P701" s="6"/>
      <c r="Q701" s="6"/>
      <c r="R701" s="6"/>
      <c r="S701" s="6"/>
      <c r="T701" s="6"/>
      <c r="U701" s="6"/>
      <c r="V701" s="6"/>
      <c r="W701" s="6"/>
      <c r="X701" s="6"/>
      <c r="Y701" s="6"/>
      <c r="Z701" s="6"/>
      <c r="AA701" s="6"/>
    </row>
    <row r="702" ht="15.75" customHeight="1">
      <c r="A702" s="59"/>
      <c r="B702" s="59"/>
      <c r="C702" s="59"/>
      <c r="D702" s="59"/>
      <c r="E702" s="59"/>
      <c r="F702" s="59"/>
      <c r="G702" s="59"/>
      <c r="H702" s="59"/>
      <c r="I702" s="59"/>
      <c r="J702" s="59"/>
      <c r="K702" s="59"/>
      <c r="L702" s="59"/>
      <c r="M702" s="59"/>
      <c r="N702" s="59"/>
      <c r="O702" s="7"/>
      <c r="P702" s="6"/>
      <c r="Q702" s="6"/>
      <c r="R702" s="6"/>
      <c r="S702" s="6"/>
      <c r="T702" s="6"/>
      <c r="U702" s="6"/>
      <c r="V702" s="6"/>
      <c r="W702" s="6"/>
      <c r="X702" s="6"/>
      <c r="Y702" s="6"/>
      <c r="Z702" s="6"/>
      <c r="AA702" s="6"/>
    </row>
    <row r="703" ht="15.75" customHeight="1">
      <c r="A703" s="59"/>
      <c r="B703" s="59"/>
      <c r="C703" s="59"/>
      <c r="D703" s="59"/>
      <c r="E703" s="59"/>
      <c r="F703" s="59"/>
      <c r="G703" s="59"/>
      <c r="H703" s="59"/>
      <c r="I703" s="59"/>
      <c r="J703" s="59"/>
      <c r="K703" s="59"/>
      <c r="L703" s="59"/>
      <c r="M703" s="59"/>
      <c r="N703" s="59"/>
      <c r="O703" s="7"/>
      <c r="P703" s="6"/>
      <c r="Q703" s="6"/>
      <c r="R703" s="6"/>
      <c r="S703" s="6"/>
      <c r="T703" s="6"/>
      <c r="U703" s="6"/>
      <c r="V703" s="6"/>
      <c r="W703" s="6"/>
      <c r="X703" s="6"/>
      <c r="Y703" s="6"/>
      <c r="Z703" s="6"/>
      <c r="AA703" s="6"/>
    </row>
    <row r="704" ht="15.75" customHeight="1">
      <c r="A704" s="59"/>
      <c r="B704" s="59"/>
      <c r="C704" s="59"/>
      <c r="D704" s="59"/>
      <c r="E704" s="59"/>
      <c r="F704" s="59"/>
      <c r="G704" s="59"/>
      <c r="H704" s="59"/>
      <c r="I704" s="59"/>
      <c r="J704" s="59"/>
      <c r="K704" s="59"/>
      <c r="L704" s="59"/>
      <c r="M704" s="59"/>
      <c r="N704" s="59"/>
      <c r="O704" s="7"/>
      <c r="P704" s="6"/>
      <c r="Q704" s="6"/>
      <c r="R704" s="6"/>
      <c r="S704" s="6"/>
      <c r="T704" s="6"/>
      <c r="U704" s="6"/>
      <c r="V704" s="6"/>
      <c r="W704" s="6"/>
      <c r="X704" s="6"/>
      <c r="Y704" s="6"/>
      <c r="Z704" s="6"/>
      <c r="AA704" s="6"/>
    </row>
    <row r="705" ht="15.75" customHeight="1">
      <c r="A705" s="59"/>
      <c r="B705" s="59"/>
      <c r="C705" s="59"/>
      <c r="D705" s="59"/>
      <c r="E705" s="59"/>
      <c r="F705" s="59"/>
      <c r="G705" s="59"/>
      <c r="H705" s="59"/>
      <c r="I705" s="59"/>
      <c r="J705" s="59"/>
      <c r="K705" s="59"/>
      <c r="L705" s="59"/>
      <c r="M705" s="59"/>
      <c r="N705" s="59"/>
      <c r="O705" s="7"/>
      <c r="P705" s="6"/>
      <c r="Q705" s="6"/>
      <c r="R705" s="6"/>
      <c r="S705" s="6"/>
      <c r="T705" s="6"/>
      <c r="U705" s="6"/>
      <c r="V705" s="6"/>
      <c r="W705" s="6"/>
      <c r="X705" s="6"/>
      <c r="Y705" s="6"/>
      <c r="Z705" s="6"/>
      <c r="AA705" s="6"/>
    </row>
    <row r="706" ht="15.75" customHeight="1">
      <c r="A706" s="59"/>
      <c r="B706" s="59"/>
      <c r="C706" s="59"/>
      <c r="D706" s="59"/>
      <c r="E706" s="59"/>
      <c r="F706" s="59"/>
      <c r="G706" s="59"/>
      <c r="H706" s="59"/>
      <c r="I706" s="59"/>
      <c r="J706" s="59"/>
      <c r="K706" s="59"/>
      <c r="L706" s="59"/>
      <c r="M706" s="59"/>
      <c r="N706" s="59"/>
      <c r="O706" s="7"/>
      <c r="P706" s="6"/>
      <c r="Q706" s="6"/>
      <c r="R706" s="6"/>
      <c r="S706" s="6"/>
      <c r="T706" s="6"/>
      <c r="U706" s="6"/>
      <c r="V706" s="6"/>
      <c r="W706" s="6"/>
      <c r="X706" s="6"/>
      <c r="Y706" s="6"/>
      <c r="Z706" s="6"/>
      <c r="AA706" s="6"/>
    </row>
    <row r="707" ht="15.75" customHeight="1">
      <c r="A707" s="59"/>
      <c r="B707" s="59"/>
      <c r="C707" s="59"/>
      <c r="D707" s="59"/>
      <c r="E707" s="59"/>
      <c r="F707" s="59"/>
      <c r="G707" s="59"/>
      <c r="H707" s="59"/>
      <c r="I707" s="59"/>
      <c r="J707" s="59"/>
      <c r="K707" s="59"/>
      <c r="L707" s="59"/>
      <c r="M707" s="59"/>
      <c r="N707" s="59"/>
      <c r="O707" s="7"/>
      <c r="P707" s="6"/>
      <c r="Q707" s="6"/>
      <c r="R707" s="6"/>
      <c r="S707" s="6"/>
      <c r="T707" s="6"/>
      <c r="U707" s="6"/>
      <c r="V707" s="6"/>
      <c r="W707" s="6"/>
      <c r="X707" s="6"/>
      <c r="Y707" s="6"/>
      <c r="Z707" s="6"/>
      <c r="AA707" s="6"/>
    </row>
    <row r="708" ht="15.75" customHeight="1">
      <c r="A708" s="59"/>
      <c r="B708" s="59"/>
      <c r="C708" s="59"/>
      <c r="D708" s="59"/>
      <c r="E708" s="59"/>
      <c r="F708" s="59"/>
      <c r="G708" s="59"/>
      <c r="H708" s="59"/>
      <c r="I708" s="59"/>
      <c r="J708" s="59"/>
      <c r="K708" s="59"/>
      <c r="L708" s="59"/>
      <c r="M708" s="59"/>
      <c r="N708" s="59"/>
      <c r="O708" s="7"/>
      <c r="P708" s="6"/>
      <c r="Q708" s="6"/>
      <c r="R708" s="6"/>
      <c r="S708" s="6"/>
      <c r="T708" s="6"/>
      <c r="U708" s="6"/>
      <c r="V708" s="6"/>
      <c r="W708" s="6"/>
      <c r="X708" s="6"/>
      <c r="Y708" s="6"/>
      <c r="Z708" s="6"/>
      <c r="AA708" s="6"/>
    </row>
    <row r="709" ht="15.75" customHeight="1">
      <c r="A709" s="59"/>
      <c r="B709" s="59"/>
      <c r="C709" s="59"/>
      <c r="D709" s="59"/>
      <c r="E709" s="59"/>
      <c r="F709" s="59"/>
      <c r="G709" s="59"/>
      <c r="H709" s="59"/>
      <c r="I709" s="59"/>
      <c r="J709" s="59"/>
      <c r="K709" s="59"/>
      <c r="L709" s="59"/>
      <c r="M709" s="59"/>
      <c r="N709" s="59"/>
      <c r="O709" s="7"/>
      <c r="P709" s="6"/>
      <c r="Q709" s="6"/>
      <c r="R709" s="6"/>
      <c r="S709" s="6"/>
      <c r="T709" s="6"/>
      <c r="U709" s="6"/>
      <c r="V709" s="6"/>
      <c r="W709" s="6"/>
      <c r="X709" s="6"/>
      <c r="Y709" s="6"/>
      <c r="Z709" s="6"/>
      <c r="AA709" s="6"/>
    </row>
    <row r="710" ht="15.75" customHeight="1">
      <c r="A710" s="59"/>
      <c r="B710" s="59"/>
      <c r="C710" s="59"/>
      <c r="D710" s="59"/>
      <c r="E710" s="59"/>
      <c r="F710" s="59"/>
      <c r="G710" s="59"/>
      <c r="H710" s="59"/>
      <c r="I710" s="59"/>
      <c r="J710" s="59"/>
      <c r="K710" s="59"/>
      <c r="L710" s="59"/>
      <c r="M710" s="59"/>
      <c r="N710" s="59"/>
      <c r="O710" s="7"/>
      <c r="P710" s="6"/>
      <c r="Q710" s="6"/>
      <c r="R710" s="6"/>
      <c r="S710" s="6"/>
      <c r="T710" s="6"/>
      <c r="U710" s="6"/>
      <c r="V710" s="6"/>
      <c r="W710" s="6"/>
      <c r="X710" s="6"/>
      <c r="Y710" s="6"/>
      <c r="Z710" s="6"/>
      <c r="AA710" s="6"/>
    </row>
    <row r="711" ht="15.75" customHeight="1">
      <c r="A711" s="59"/>
      <c r="B711" s="59"/>
      <c r="C711" s="59"/>
      <c r="D711" s="59"/>
      <c r="E711" s="59"/>
      <c r="F711" s="59"/>
      <c r="G711" s="59"/>
      <c r="H711" s="59"/>
      <c r="I711" s="59"/>
      <c r="J711" s="59"/>
      <c r="K711" s="59"/>
      <c r="L711" s="59"/>
      <c r="M711" s="59"/>
      <c r="N711" s="59"/>
      <c r="O711" s="7"/>
      <c r="P711" s="6"/>
      <c r="Q711" s="6"/>
      <c r="R711" s="6"/>
      <c r="S711" s="6"/>
      <c r="T711" s="6"/>
      <c r="U711" s="6"/>
      <c r="V711" s="6"/>
      <c r="W711" s="6"/>
      <c r="X711" s="6"/>
      <c r="Y711" s="6"/>
      <c r="Z711" s="6"/>
      <c r="AA711" s="6"/>
    </row>
    <row r="712" ht="15.75" customHeight="1">
      <c r="A712" s="59"/>
      <c r="B712" s="59"/>
      <c r="C712" s="59"/>
      <c r="D712" s="59"/>
      <c r="E712" s="59"/>
      <c r="F712" s="59"/>
      <c r="G712" s="59"/>
      <c r="H712" s="59"/>
      <c r="I712" s="59"/>
      <c r="J712" s="59"/>
      <c r="K712" s="59"/>
      <c r="L712" s="59"/>
      <c r="M712" s="59"/>
      <c r="N712" s="59"/>
      <c r="O712" s="7"/>
      <c r="P712" s="6"/>
      <c r="Q712" s="6"/>
      <c r="R712" s="6"/>
      <c r="S712" s="6"/>
      <c r="T712" s="6"/>
      <c r="U712" s="6"/>
      <c r="V712" s="6"/>
      <c r="W712" s="6"/>
      <c r="X712" s="6"/>
      <c r="Y712" s="6"/>
      <c r="Z712" s="6"/>
      <c r="AA712" s="6"/>
    </row>
    <row r="713" ht="15.75" customHeight="1">
      <c r="A713" s="59"/>
      <c r="B713" s="59"/>
      <c r="C713" s="59"/>
      <c r="D713" s="59"/>
      <c r="E713" s="59"/>
      <c r="F713" s="59"/>
      <c r="G713" s="59"/>
      <c r="H713" s="59"/>
      <c r="I713" s="59"/>
      <c r="J713" s="59"/>
      <c r="K713" s="59"/>
      <c r="L713" s="59"/>
      <c r="M713" s="59"/>
      <c r="N713" s="59"/>
      <c r="O713" s="7"/>
      <c r="P713" s="6"/>
      <c r="Q713" s="6"/>
      <c r="R713" s="6"/>
      <c r="S713" s="6"/>
      <c r="T713" s="6"/>
      <c r="U713" s="6"/>
      <c r="V713" s="6"/>
      <c r="W713" s="6"/>
      <c r="X713" s="6"/>
      <c r="Y713" s="6"/>
      <c r="Z713" s="6"/>
      <c r="AA713" s="6"/>
    </row>
    <row r="714" ht="15.75" customHeight="1">
      <c r="A714" s="59"/>
      <c r="B714" s="59"/>
      <c r="C714" s="59"/>
      <c r="D714" s="59"/>
      <c r="E714" s="59"/>
      <c r="F714" s="59"/>
      <c r="G714" s="59"/>
      <c r="H714" s="59"/>
      <c r="I714" s="59"/>
      <c r="J714" s="59"/>
      <c r="K714" s="59"/>
      <c r="L714" s="59"/>
      <c r="M714" s="59"/>
      <c r="N714" s="59"/>
      <c r="O714" s="7"/>
      <c r="P714" s="6"/>
      <c r="Q714" s="6"/>
      <c r="R714" s="6"/>
      <c r="S714" s="6"/>
      <c r="T714" s="6"/>
      <c r="U714" s="6"/>
      <c r="V714" s="6"/>
      <c r="W714" s="6"/>
      <c r="X714" s="6"/>
      <c r="Y714" s="6"/>
      <c r="Z714" s="6"/>
      <c r="AA714" s="6"/>
    </row>
    <row r="715" ht="15.75" customHeight="1">
      <c r="A715" s="59"/>
      <c r="B715" s="59"/>
      <c r="C715" s="59"/>
      <c r="D715" s="59"/>
      <c r="E715" s="59"/>
      <c r="F715" s="59"/>
      <c r="G715" s="59"/>
      <c r="H715" s="59"/>
      <c r="I715" s="59"/>
      <c r="J715" s="59"/>
      <c r="K715" s="59"/>
      <c r="L715" s="59"/>
      <c r="M715" s="59"/>
      <c r="N715" s="59"/>
      <c r="O715" s="7"/>
      <c r="P715" s="6"/>
      <c r="Q715" s="6"/>
      <c r="R715" s="6"/>
      <c r="S715" s="6"/>
      <c r="T715" s="6"/>
      <c r="U715" s="6"/>
      <c r="V715" s="6"/>
      <c r="W715" s="6"/>
      <c r="X715" s="6"/>
      <c r="Y715" s="6"/>
      <c r="Z715" s="6"/>
      <c r="AA715" s="6"/>
    </row>
    <row r="716" ht="15.75" customHeight="1">
      <c r="A716" s="59"/>
      <c r="B716" s="59"/>
      <c r="C716" s="59"/>
      <c r="D716" s="59"/>
      <c r="E716" s="59"/>
      <c r="F716" s="59"/>
      <c r="G716" s="59"/>
      <c r="H716" s="59"/>
      <c r="I716" s="59"/>
      <c r="J716" s="59"/>
      <c r="K716" s="59"/>
      <c r="L716" s="59"/>
      <c r="M716" s="59"/>
      <c r="N716" s="59"/>
      <c r="O716" s="7"/>
      <c r="P716" s="6"/>
      <c r="Q716" s="6"/>
      <c r="R716" s="6"/>
      <c r="S716" s="6"/>
      <c r="T716" s="6"/>
      <c r="U716" s="6"/>
      <c r="V716" s="6"/>
      <c r="W716" s="6"/>
      <c r="X716" s="6"/>
      <c r="Y716" s="6"/>
      <c r="Z716" s="6"/>
      <c r="AA716" s="6"/>
    </row>
    <row r="717" ht="15.75" customHeight="1">
      <c r="A717" s="59"/>
      <c r="B717" s="59"/>
      <c r="C717" s="59"/>
      <c r="D717" s="59"/>
      <c r="E717" s="59"/>
      <c r="F717" s="59"/>
      <c r="G717" s="59"/>
      <c r="H717" s="59"/>
      <c r="I717" s="59"/>
      <c r="J717" s="59"/>
      <c r="K717" s="59"/>
      <c r="L717" s="59"/>
      <c r="M717" s="59"/>
      <c r="N717" s="59"/>
      <c r="O717" s="7"/>
      <c r="P717" s="6"/>
      <c r="Q717" s="6"/>
      <c r="R717" s="6"/>
      <c r="S717" s="6"/>
      <c r="T717" s="6"/>
      <c r="U717" s="6"/>
      <c r="V717" s="6"/>
      <c r="W717" s="6"/>
      <c r="X717" s="6"/>
      <c r="Y717" s="6"/>
      <c r="Z717" s="6"/>
      <c r="AA717" s="6"/>
    </row>
    <row r="718" ht="15.75" customHeight="1">
      <c r="A718" s="59"/>
      <c r="B718" s="59"/>
      <c r="C718" s="59"/>
      <c r="D718" s="59"/>
      <c r="E718" s="59"/>
      <c r="F718" s="59"/>
      <c r="G718" s="59"/>
      <c r="H718" s="59"/>
      <c r="I718" s="59"/>
      <c r="J718" s="59"/>
      <c r="K718" s="59"/>
      <c r="L718" s="59"/>
      <c r="M718" s="59"/>
      <c r="N718" s="59"/>
      <c r="O718" s="7"/>
      <c r="P718" s="6"/>
      <c r="Q718" s="6"/>
      <c r="R718" s="6"/>
      <c r="S718" s="6"/>
      <c r="T718" s="6"/>
      <c r="U718" s="6"/>
      <c r="V718" s="6"/>
      <c r="W718" s="6"/>
      <c r="X718" s="6"/>
      <c r="Y718" s="6"/>
      <c r="Z718" s="6"/>
      <c r="AA718" s="6"/>
    </row>
    <row r="719" ht="15.75" customHeight="1">
      <c r="A719" s="59"/>
      <c r="B719" s="59"/>
      <c r="C719" s="59"/>
      <c r="D719" s="59"/>
      <c r="E719" s="59"/>
      <c r="F719" s="59"/>
      <c r="G719" s="59"/>
      <c r="H719" s="59"/>
      <c r="I719" s="59"/>
      <c r="J719" s="59"/>
      <c r="K719" s="59"/>
      <c r="L719" s="59"/>
      <c r="M719" s="59"/>
      <c r="N719" s="59"/>
      <c r="O719" s="7"/>
      <c r="P719" s="6"/>
      <c r="Q719" s="6"/>
      <c r="R719" s="6"/>
      <c r="S719" s="6"/>
      <c r="T719" s="6"/>
      <c r="U719" s="6"/>
      <c r="V719" s="6"/>
      <c r="W719" s="6"/>
      <c r="X719" s="6"/>
      <c r="Y719" s="6"/>
      <c r="Z719" s="6"/>
      <c r="AA719" s="6"/>
    </row>
    <row r="720" ht="15.75" customHeight="1">
      <c r="A720" s="59"/>
      <c r="B720" s="59"/>
      <c r="C720" s="59"/>
      <c r="D720" s="59"/>
      <c r="E720" s="59"/>
      <c r="F720" s="59"/>
      <c r="G720" s="59"/>
      <c r="H720" s="59"/>
      <c r="I720" s="59"/>
      <c r="J720" s="59"/>
      <c r="K720" s="59"/>
      <c r="L720" s="59"/>
      <c r="M720" s="59"/>
      <c r="N720" s="59"/>
      <c r="O720" s="7"/>
      <c r="P720" s="6"/>
      <c r="Q720" s="6"/>
      <c r="R720" s="6"/>
      <c r="S720" s="6"/>
      <c r="T720" s="6"/>
      <c r="U720" s="6"/>
      <c r="V720" s="6"/>
      <c r="W720" s="6"/>
      <c r="X720" s="6"/>
      <c r="Y720" s="6"/>
      <c r="Z720" s="6"/>
      <c r="AA720" s="6"/>
    </row>
    <row r="721" ht="15.75" customHeight="1">
      <c r="A721" s="59"/>
      <c r="B721" s="59"/>
      <c r="C721" s="59"/>
      <c r="D721" s="59"/>
      <c r="E721" s="59"/>
      <c r="F721" s="59"/>
      <c r="G721" s="59"/>
      <c r="H721" s="59"/>
      <c r="I721" s="59"/>
      <c r="J721" s="59"/>
      <c r="K721" s="59"/>
      <c r="L721" s="59"/>
      <c r="M721" s="59"/>
      <c r="N721" s="59"/>
      <c r="O721" s="7"/>
      <c r="P721" s="6"/>
      <c r="Q721" s="6"/>
      <c r="R721" s="6"/>
      <c r="S721" s="6"/>
      <c r="T721" s="6"/>
      <c r="U721" s="6"/>
      <c r="V721" s="6"/>
      <c r="W721" s="6"/>
      <c r="X721" s="6"/>
      <c r="Y721" s="6"/>
      <c r="Z721" s="6"/>
      <c r="AA721" s="6"/>
    </row>
    <row r="722" ht="15.75" customHeight="1">
      <c r="A722" s="59"/>
      <c r="B722" s="59"/>
      <c r="C722" s="59"/>
      <c r="D722" s="59"/>
      <c r="E722" s="59"/>
      <c r="F722" s="59"/>
      <c r="G722" s="59"/>
      <c r="H722" s="59"/>
      <c r="I722" s="59"/>
      <c r="J722" s="59"/>
      <c r="K722" s="59"/>
      <c r="L722" s="59"/>
      <c r="M722" s="59"/>
      <c r="N722" s="59"/>
      <c r="O722" s="7"/>
      <c r="P722" s="6"/>
      <c r="Q722" s="6"/>
      <c r="R722" s="6"/>
      <c r="S722" s="6"/>
      <c r="T722" s="6"/>
      <c r="U722" s="6"/>
      <c r="V722" s="6"/>
      <c r="W722" s="6"/>
      <c r="X722" s="6"/>
      <c r="Y722" s="6"/>
      <c r="Z722" s="6"/>
      <c r="AA722" s="6"/>
    </row>
    <row r="723" ht="15.75" customHeight="1">
      <c r="A723" s="59"/>
      <c r="B723" s="59"/>
      <c r="C723" s="59"/>
      <c r="D723" s="59"/>
      <c r="E723" s="59"/>
      <c r="F723" s="59"/>
      <c r="G723" s="59"/>
      <c r="H723" s="59"/>
      <c r="I723" s="59"/>
      <c r="J723" s="59"/>
      <c r="K723" s="59"/>
      <c r="L723" s="59"/>
      <c r="M723" s="59"/>
      <c r="N723" s="59"/>
      <c r="O723" s="7"/>
      <c r="P723" s="6"/>
      <c r="Q723" s="6"/>
      <c r="R723" s="6"/>
      <c r="S723" s="6"/>
      <c r="T723" s="6"/>
      <c r="U723" s="6"/>
      <c r="V723" s="6"/>
      <c r="W723" s="6"/>
      <c r="X723" s="6"/>
      <c r="Y723" s="6"/>
      <c r="Z723" s="6"/>
      <c r="AA723" s="6"/>
    </row>
    <row r="724" ht="15.75" customHeight="1">
      <c r="A724" s="59"/>
      <c r="B724" s="59"/>
      <c r="C724" s="59"/>
      <c r="D724" s="59"/>
      <c r="E724" s="59"/>
      <c r="F724" s="59"/>
      <c r="G724" s="59"/>
      <c r="H724" s="59"/>
      <c r="I724" s="59"/>
      <c r="J724" s="59"/>
      <c r="K724" s="59"/>
      <c r="L724" s="59"/>
      <c r="M724" s="59"/>
      <c r="N724" s="59"/>
      <c r="O724" s="7"/>
      <c r="P724" s="6"/>
      <c r="Q724" s="6"/>
      <c r="R724" s="6"/>
      <c r="S724" s="6"/>
      <c r="T724" s="6"/>
      <c r="U724" s="6"/>
      <c r="V724" s="6"/>
      <c r="W724" s="6"/>
      <c r="X724" s="6"/>
      <c r="Y724" s="6"/>
      <c r="Z724" s="6"/>
      <c r="AA724" s="6"/>
    </row>
    <row r="725" ht="15.75" customHeight="1">
      <c r="A725" s="59"/>
      <c r="B725" s="59"/>
      <c r="C725" s="59"/>
      <c r="D725" s="59"/>
      <c r="E725" s="59"/>
      <c r="F725" s="59"/>
      <c r="G725" s="59"/>
      <c r="H725" s="59"/>
      <c r="I725" s="59"/>
      <c r="J725" s="59"/>
      <c r="K725" s="59"/>
      <c r="L725" s="59"/>
      <c r="M725" s="59"/>
      <c r="N725" s="59"/>
      <c r="O725" s="7"/>
      <c r="P725" s="6"/>
      <c r="Q725" s="6"/>
      <c r="R725" s="6"/>
      <c r="S725" s="6"/>
      <c r="T725" s="6"/>
      <c r="U725" s="6"/>
      <c r="V725" s="6"/>
      <c r="W725" s="6"/>
      <c r="X725" s="6"/>
      <c r="Y725" s="6"/>
      <c r="Z725" s="6"/>
      <c r="AA725" s="6"/>
    </row>
    <row r="726" ht="15.75" customHeight="1">
      <c r="A726" s="59"/>
      <c r="B726" s="59"/>
      <c r="C726" s="59"/>
      <c r="D726" s="59"/>
      <c r="E726" s="59"/>
      <c r="F726" s="59"/>
      <c r="G726" s="59"/>
      <c r="H726" s="59"/>
      <c r="I726" s="59"/>
      <c r="J726" s="59"/>
      <c r="K726" s="59"/>
      <c r="L726" s="59"/>
      <c r="M726" s="59"/>
      <c r="N726" s="59"/>
      <c r="O726" s="7"/>
      <c r="P726" s="6"/>
      <c r="Q726" s="6"/>
      <c r="R726" s="6"/>
      <c r="S726" s="6"/>
      <c r="T726" s="6"/>
      <c r="U726" s="6"/>
      <c r="V726" s="6"/>
      <c r="W726" s="6"/>
      <c r="X726" s="6"/>
      <c r="Y726" s="6"/>
      <c r="Z726" s="6"/>
      <c r="AA726" s="6"/>
    </row>
    <row r="727" ht="15.75" customHeight="1">
      <c r="A727" s="59"/>
      <c r="B727" s="59"/>
      <c r="C727" s="59"/>
      <c r="D727" s="59"/>
      <c r="E727" s="59"/>
      <c r="F727" s="59"/>
      <c r="G727" s="59"/>
      <c r="H727" s="59"/>
      <c r="I727" s="59"/>
      <c r="J727" s="59"/>
      <c r="K727" s="59"/>
      <c r="L727" s="59"/>
      <c r="M727" s="59"/>
      <c r="N727" s="59"/>
      <c r="O727" s="7"/>
      <c r="P727" s="6"/>
      <c r="Q727" s="6"/>
      <c r="R727" s="6"/>
      <c r="S727" s="6"/>
      <c r="T727" s="6"/>
      <c r="U727" s="6"/>
      <c r="V727" s="6"/>
      <c r="W727" s="6"/>
      <c r="X727" s="6"/>
      <c r="Y727" s="6"/>
      <c r="Z727" s="6"/>
      <c r="AA727" s="6"/>
    </row>
    <row r="728" ht="15.75" customHeight="1">
      <c r="A728" s="59"/>
      <c r="B728" s="59"/>
      <c r="C728" s="59"/>
      <c r="D728" s="59"/>
      <c r="E728" s="59"/>
      <c r="F728" s="59"/>
      <c r="G728" s="59"/>
      <c r="H728" s="59"/>
      <c r="I728" s="59"/>
      <c r="J728" s="59"/>
      <c r="K728" s="59"/>
      <c r="L728" s="59"/>
      <c r="M728" s="59"/>
      <c r="N728" s="59"/>
      <c r="O728" s="7"/>
      <c r="P728" s="6"/>
      <c r="Q728" s="6"/>
      <c r="R728" s="6"/>
      <c r="S728" s="6"/>
      <c r="T728" s="6"/>
      <c r="U728" s="6"/>
      <c r="V728" s="6"/>
      <c r="W728" s="6"/>
      <c r="X728" s="6"/>
      <c r="Y728" s="6"/>
      <c r="Z728" s="6"/>
      <c r="AA728" s="6"/>
    </row>
    <row r="729" ht="15.75" customHeight="1">
      <c r="A729" s="59"/>
      <c r="B729" s="59"/>
      <c r="C729" s="59"/>
      <c r="D729" s="59"/>
      <c r="E729" s="59"/>
      <c r="F729" s="59"/>
      <c r="G729" s="59"/>
      <c r="H729" s="59"/>
      <c r="I729" s="59"/>
      <c r="J729" s="59"/>
      <c r="K729" s="59"/>
      <c r="L729" s="59"/>
      <c r="M729" s="59"/>
      <c r="N729" s="59"/>
      <c r="O729" s="7"/>
      <c r="P729" s="6"/>
      <c r="Q729" s="6"/>
      <c r="R729" s="6"/>
      <c r="S729" s="6"/>
      <c r="T729" s="6"/>
      <c r="U729" s="6"/>
      <c r="V729" s="6"/>
      <c r="W729" s="6"/>
      <c r="X729" s="6"/>
      <c r="Y729" s="6"/>
      <c r="Z729" s="6"/>
      <c r="AA729" s="6"/>
    </row>
    <row r="730" ht="15.75" customHeight="1">
      <c r="A730" s="59"/>
      <c r="B730" s="59"/>
      <c r="C730" s="59"/>
      <c r="D730" s="59"/>
      <c r="E730" s="59"/>
      <c r="F730" s="59"/>
      <c r="G730" s="59"/>
      <c r="H730" s="59"/>
      <c r="I730" s="59"/>
      <c r="J730" s="59"/>
      <c r="K730" s="59"/>
      <c r="L730" s="59"/>
      <c r="M730" s="59"/>
      <c r="N730" s="59"/>
      <c r="O730" s="7"/>
      <c r="P730" s="6"/>
      <c r="Q730" s="6"/>
      <c r="R730" s="6"/>
      <c r="S730" s="6"/>
      <c r="T730" s="6"/>
      <c r="U730" s="6"/>
      <c r="V730" s="6"/>
      <c r="W730" s="6"/>
      <c r="X730" s="6"/>
      <c r="Y730" s="6"/>
      <c r="Z730" s="6"/>
      <c r="AA730" s="6"/>
    </row>
    <row r="731" ht="15.75" customHeight="1">
      <c r="A731" s="59"/>
      <c r="B731" s="59"/>
      <c r="C731" s="59"/>
      <c r="D731" s="59"/>
      <c r="E731" s="59"/>
      <c r="F731" s="59"/>
      <c r="G731" s="59"/>
      <c r="H731" s="59"/>
      <c r="I731" s="59"/>
      <c r="J731" s="59"/>
      <c r="K731" s="59"/>
      <c r="L731" s="59"/>
      <c r="M731" s="59"/>
      <c r="N731" s="59"/>
      <c r="O731" s="7"/>
      <c r="P731" s="6"/>
      <c r="Q731" s="6"/>
      <c r="R731" s="6"/>
      <c r="S731" s="6"/>
      <c r="T731" s="6"/>
      <c r="U731" s="6"/>
      <c r="V731" s="6"/>
      <c r="W731" s="6"/>
      <c r="X731" s="6"/>
      <c r="Y731" s="6"/>
      <c r="Z731" s="6"/>
      <c r="AA731" s="6"/>
    </row>
    <row r="732" ht="15.75" customHeight="1">
      <c r="A732" s="59"/>
      <c r="B732" s="59"/>
      <c r="C732" s="59"/>
      <c r="D732" s="59"/>
      <c r="E732" s="59"/>
      <c r="F732" s="59"/>
      <c r="G732" s="59"/>
      <c r="H732" s="59"/>
      <c r="I732" s="59"/>
      <c r="J732" s="59"/>
      <c r="K732" s="59"/>
      <c r="L732" s="59"/>
      <c r="M732" s="59"/>
      <c r="N732" s="59"/>
      <c r="O732" s="7"/>
      <c r="P732" s="6"/>
      <c r="Q732" s="6"/>
      <c r="R732" s="6"/>
      <c r="S732" s="6"/>
      <c r="T732" s="6"/>
      <c r="U732" s="6"/>
      <c r="V732" s="6"/>
      <c r="W732" s="6"/>
      <c r="X732" s="6"/>
      <c r="Y732" s="6"/>
      <c r="Z732" s="6"/>
      <c r="AA732" s="6"/>
    </row>
    <row r="733" ht="15.75" customHeight="1">
      <c r="A733" s="59"/>
      <c r="B733" s="59"/>
      <c r="C733" s="59"/>
      <c r="D733" s="59"/>
      <c r="E733" s="59"/>
      <c r="F733" s="59"/>
      <c r="G733" s="59"/>
      <c r="H733" s="59"/>
      <c r="I733" s="59"/>
      <c r="J733" s="59"/>
      <c r="K733" s="59"/>
      <c r="L733" s="59"/>
      <c r="M733" s="59"/>
      <c r="N733" s="59"/>
      <c r="O733" s="7"/>
      <c r="P733" s="6"/>
      <c r="Q733" s="6"/>
      <c r="R733" s="6"/>
      <c r="S733" s="6"/>
      <c r="T733" s="6"/>
      <c r="U733" s="6"/>
      <c r="V733" s="6"/>
      <c r="W733" s="6"/>
      <c r="X733" s="6"/>
      <c r="Y733" s="6"/>
      <c r="Z733" s="6"/>
      <c r="AA733" s="6"/>
    </row>
    <row r="734" ht="15.75" customHeight="1">
      <c r="A734" s="59"/>
      <c r="B734" s="59"/>
      <c r="C734" s="59"/>
      <c r="D734" s="59"/>
      <c r="E734" s="59"/>
      <c r="F734" s="59"/>
      <c r="G734" s="59"/>
      <c r="H734" s="59"/>
      <c r="I734" s="59"/>
      <c r="J734" s="59"/>
      <c r="K734" s="59"/>
      <c r="L734" s="59"/>
      <c r="M734" s="59"/>
      <c r="N734" s="59"/>
      <c r="O734" s="7"/>
      <c r="P734" s="6"/>
      <c r="Q734" s="6"/>
      <c r="R734" s="6"/>
      <c r="S734" s="6"/>
      <c r="T734" s="6"/>
      <c r="U734" s="6"/>
      <c r="V734" s="6"/>
      <c r="W734" s="6"/>
      <c r="X734" s="6"/>
      <c r="Y734" s="6"/>
      <c r="Z734" s="6"/>
      <c r="AA734" s="6"/>
    </row>
    <row r="735" ht="15.75" customHeight="1">
      <c r="A735" s="59"/>
      <c r="B735" s="59"/>
      <c r="C735" s="59"/>
      <c r="D735" s="59"/>
      <c r="E735" s="59"/>
      <c r="F735" s="59"/>
      <c r="G735" s="59"/>
      <c r="H735" s="59"/>
      <c r="I735" s="59"/>
      <c r="J735" s="59"/>
      <c r="K735" s="59"/>
      <c r="L735" s="59"/>
      <c r="M735" s="59"/>
      <c r="N735" s="59"/>
      <c r="O735" s="7"/>
      <c r="P735" s="6"/>
      <c r="Q735" s="6"/>
      <c r="R735" s="6"/>
      <c r="S735" s="6"/>
      <c r="T735" s="6"/>
      <c r="U735" s="6"/>
      <c r="V735" s="6"/>
      <c r="W735" s="6"/>
      <c r="X735" s="6"/>
      <c r="Y735" s="6"/>
      <c r="Z735" s="6"/>
      <c r="AA735" s="6"/>
    </row>
    <row r="736" ht="15.75" customHeight="1">
      <c r="A736" s="59"/>
      <c r="B736" s="59"/>
      <c r="C736" s="59"/>
      <c r="D736" s="59"/>
      <c r="E736" s="59"/>
      <c r="F736" s="59"/>
      <c r="G736" s="59"/>
      <c r="H736" s="59"/>
      <c r="I736" s="59"/>
      <c r="J736" s="59"/>
      <c r="K736" s="59"/>
      <c r="L736" s="59"/>
      <c r="M736" s="59"/>
      <c r="N736" s="59"/>
      <c r="O736" s="7"/>
      <c r="P736" s="6"/>
      <c r="Q736" s="6"/>
      <c r="R736" s="6"/>
      <c r="S736" s="6"/>
      <c r="T736" s="6"/>
      <c r="U736" s="6"/>
      <c r="V736" s="6"/>
      <c r="W736" s="6"/>
      <c r="X736" s="6"/>
      <c r="Y736" s="6"/>
      <c r="Z736" s="6"/>
      <c r="AA736" s="6"/>
    </row>
    <row r="737" ht="15.75" customHeight="1">
      <c r="A737" s="59"/>
      <c r="B737" s="59"/>
      <c r="C737" s="59"/>
      <c r="D737" s="59"/>
      <c r="E737" s="59"/>
      <c r="F737" s="59"/>
      <c r="G737" s="59"/>
      <c r="H737" s="59"/>
      <c r="I737" s="59"/>
      <c r="J737" s="59"/>
      <c r="K737" s="59"/>
      <c r="L737" s="59"/>
      <c r="M737" s="59"/>
      <c r="N737" s="59"/>
      <c r="O737" s="7"/>
      <c r="P737" s="6"/>
      <c r="Q737" s="6"/>
      <c r="R737" s="6"/>
      <c r="S737" s="6"/>
      <c r="T737" s="6"/>
      <c r="U737" s="6"/>
      <c r="V737" s="6"/>
      <c r="W737" s="6"/>
      <c r="X737" s="6"/>
      <c r="Y737" s="6"/>
      <c r="Z737" s="6"/>
      <c r="AA737" s="6"/>
    </row>
    <row r="738" ht="15.75" customHeight="1">
      <c r="A738" s="59"/>
      <c r="B738" s="59"/>
      <c r="C738" s="59"/>
      <c r="D738" s="59"/>
      <c r="E738" s="59"/>
      <c r="F738" s="59"/>
      <c r="G738" s="59"/>
      <c r="H738" s="59"/>
      <c r="I738" s="59"/>
      <c r="J738" s="59"/>
      <c r="K738" s="59"/>
      <c r="L738" s="59"/>
      <c r="M738" s="59"/>
      <c r="N738" s="59"/>
      <c r="O738" s="7"/>
      <c r="P738" s="6"/>
      <c r="Q738" s="6"/>
      <c r="R738" s="6"/>
      <c r="S738" s="6"/>
      <c r="T738" s="6"/>
      <c r="U738" s="6"/>
      <c r="V738" s="6"/>
      <c r="W738" s="6"/>
      <c r="X738" s="6"/>
      <c r="Y738" s="6"/>
      <c r="Z738" s="6"/>
      <c r="AA738" s="6"/>
    </row>
    <row r="739" ht="15.75" customHeight="1">
      <c r="A739" s="59"/>
      <c r="B739" s="59"/>
      <c r="C739" s="59"/>
      <c r="D739" s="59"/>
      <c r="E739" s="59"/>
      <c r="F739" s="59"/>
      <c r="G739" s="59"/>
      <c r="H739" s="59"/>
      <c r="I739" s="59"/>
      <c r="J739" s="59"/>
      <c r="K739" s="59"/>
      <c r="L739" s="59"/>
      <c r="M739" s="59"/>
      <c r="N739" s="59"/>
      <c r="O739" s="7"/>
      <c r="P739" s="6"/>
      <c r="Q739" s="6"/>
      <c r="R739" s="6"/>
      <c r="S739" s="6"/>
      <c r="T739" s="6"/>
      <c r="U739" s="6"/>
      <c r="V739" s="6"/>
      <c r="W739" s="6"/>
      <c r="X739" s="6"/>
      <c r="Y739" s="6"/>
      <c r="Z739" s="6"/>
      <c r="AA739" s="6"/>
    </row>
    <row r="740" ht="15.75" customHeight="1">
      <c r="A740" s="59"/>
      <c r="B740" s="59"/>
      <c r="C740" s="59"/>
      <c r="D740" s="59"/>
      <c r="E740" s="59"/>
      <c r="F740" s="59"/>
      <c r="G740" s="59"/>
      <c r="H740" s="59"/>
      <c r="I740" s="59"/>
      <c r="J740" s="59"/>
      <c r="K740" s="59"/>
      <c r="L740" s="59"/>
      <c r="M740" s="59"/>
      <c r="N740" s="59"/>
      <c r="O740" s="7"/>
      <c r="P740" s="6"/>
      <c r="Q740" s="6"/>
      <c r="R740" s="6"/>
      <c r="S740" s="6"/>
      <c r="T740" s="6"/>
      <c r="U740" s="6"/>
      <c r="V740" s="6"/>
      <c r="W740" s="6"/>
      <c r="X740" s="6"/>
      <c r="Y740" s="6"/>
      <c r="Z740" s="6"/>
      <c r="AA740" s="6"/>
    </row>
    <row r="741" ht="15.75" customHeight="1">
      <c r="A741" s="59"/>
      <c r="B741" s="59"/>
      <c r="C741" s="59"/>
      <c r="D741" s="59"/>
      <c r="E741" s="59"/>
      <c r="F741" s="59"/>
      <c r="G741" s="59"/>
      <c r="H741" s="59"/>
      <c r="I741" s="59"/>
      <c r="J741" s="59"/>
      <c r="K741" s="59"/>
      <c r="L741" s="59"/>
      <c r="M741" s="59"/>
      <c r="N741" s="59"/>
      <c r="O741" s="7"/>
      <c r="P741" s="6"/>
      <c r="Q741" s="6"/>
      <c r="R741" s="6"/>
      <c r="S741" s="6"/>
      <c r="T741" s="6"/>
      <c r="U741" s="6"/>
      <c r="V741" s="6"/>
      <c r="W741" s="6"/>
      <c r="X741" s="6"/>
      <c r="Y741" s="6"/>
      <c r="Z741" s="6"/>
      <c r="AA741" s="6"/>
    </row>
    <row r="742" ht="15.75" customHeight="1">
      <c r="A742" s="59"/>
      <c r="B742" s="59"/>
      <c r="C742" s="59"/>
      <c r="D742" s="59"/>
      <c r="E742" s="59"/>
      <c r="F742" s="59"/>
      <c r="G742" s="59"/>
      <c r="H742" s="59"/>
      <c r="I742" s="59"/>
      <c r="J742" s="59"/>
      <c r="K742" s="59"/>
      <c r="L742" s="59"/>
      <c r="M742" s="59"/>
      <c r="N742" s="59"/>
      <c r="O742" s="7"/>
      <c r="P742" s="6"/>
      <c r="Q742" s="6"/>
      <c r="R742" s="6"/>
      <c r="S742" s="6"/>
      <c r="T742" s="6"/>
      <c r="U742" s="6"/>
      <c r="V742" s="6"/>
      <c r="W742" s="6"/>
      <c r="X742" s="6"/>
      <c r="Y742" s="6"/>
      <c r="Z742" s="6"/>
      <c r="AA742" s="6"/>
    </row>
    <row r="743" ht="15.75" customHeight="1">
      <c r="A743" s="59"/>
      <c r="B743" s="59"/>
      <c r="C743" s="59"/>
      <c r="D743" s="59"/>
      <c r="E743" s="59"/>
      <c r="F743" s="59"/>
      <c r="G743" s="59"/>
      <c r="H743" s="59"/>
      <c r="I743" s="59"/>
      <c r="J743" s="59"/>
      <c r="K743" s="59"/>
      <c r="L743" s="59"/>
      <c r="M743" s="59"/>
      <c r="N743" s="59"/>
      <c r="O743" s="7"/>
      <c r="P743" s="6"/>
      <c r="Q743" s="6"/>
      <c r="R743" s="6"/>
      <c r="S743" s="6"/>
      <c r="T743" s="6"/>
      <c r="U743" s="6"/>
      <c r="V743" s="6"/>
      <c r="W743" s="6"/>
      <c r="X743" s="6"/>
      <c r="Y743" s="6"/>
      <c r="Z743" s="6"/>
      <c r="AA743" s="6"/>
    </row>
    <row r="744" ht="15.75" customHeight="1">
      <c r="A744" s="59"/>
      <c r="B744" s="59"/>
      <c r="C744" s="59"/>
      <c r="D744" s="59"/>
      <c r="E744" s="59"/>
      <c r="F744" s="59"/>
      <c r="G744" s="59"/>
      <c r="H744" s="59"/>
      <c r="I744" s="59"/>
      <c r="J744" s="59"/>
      <c r="K744" s="59"/>
      <c r="L744" s="59"/>
      <c r="M744" s="59"/>
      <c r="N744" s="59"/>
      <c r="O744" s="7"/>
      <c r="P744" s="6"/>
      <c r="Q744" s="6"/>
      <c r="R744" s="6"/>
      <c r="S744" s="6"/>
      <c r="T744" s="6"/>
      <c r="U744" s="6"/>
      <c r="V744" s="6"/>
      <c r="W744" s="6"/>
      <c r="X744" s="6"/>
      <c r="Y744" s="6"/>
      <c r="Z744" s="6"/>
      <c r="AA744" s="6"/>
    </row>
    <row r="745" ht="15.75" customHeight="1">
      <c r="A745" s="59"/>
      <c r="B745" s="59"/>
      <c r="C745" s="59"/>
      <c r="D745" s="59"/>
      <c r="E745" s="59"/>
      <c r="F745" s="59"/>
      <c r="G745" s="59"/>
      <c r="H745" s="59"/>
      <c r="I745" s="59"/>
      <c r="J745" s="59"/>
      <c r="K745" s="59"/>
      <c r="L745" s="59"/>
      <c r="M745" s="59"/>
      <c r="N745" s="59"/>
      <c r="O745" s="7"/>
      <c r="P745" s="6"/>
      <c r="Q745" s="6"/>
      <c r="R745" s="6"/>
      <c r="S745" s="6"/>
      <c r="T745" s="6"/>
      <c r="U745" s="6"/>
      <c r="V745" s="6"/>
      <c r="W745" s="6"/>
      <c r="X745" s="6"/>
      <c r="Y745" s="6"/>
      <c r="Z745" s="6"/>
      <c r="AA745" s="6"/>
    </row>
    <row r="746" ht="15.75" customHeight="1">
      <c r="A746" s="59"/>
      <c r="B746" s="59"/>
      <c r="C746" s="59"/>
      <c r="D746" s="59"/>
      <c r="E746" s="59"/>
      <c r="F746" s="59"/>
      <c r="G746" s="59"/>
      <c r="H746" s="59"/>
      <c r="I746" s="59"/>
      <c r="J746" s="59"/>
      <c r="K746" s="59"/>
      <c r="L746" s="59"/>
      <c r="M746" s="59"/>
      <c r="N746" s="59"/>
      <c r="O746" s="7"/>
      <c r="P746" s="6"/>
      <c r="Q746" s="6"/>
      <c r="R746" s="6"/>
      <c r="S746" s="6"/>
      <c r="T746" s="6"/>
      <c r="U746" s="6"/>
      <c r="V746" s="6"/>
      <c r="W746" s="6"/>
      <c r="X746" s="6"/>
      <c r="Y746" s="6"/>
      <c r="Z746" s="6"/>
      <c r="AA746" s="6"/>
    </row>
    <row r="747" ht="15.75" customHeight="1">
      <c r="A747" s="59"/>
      <c r="B747" s="59"/>
      <c r="C747" s="59"/>
      <c r="D747" s="59"/>
      <c r="E747" s="59"/>
      <c r="F747" s="59"/>
      <c r="G747" s="59"/>
      <c r="H747" s="59"/>
      <c r="I747" s="59"/>
      <c r="J747" s="59"/>
      <c r="K747" s="59"/>
      <c r="L747" s="59"/>
      <c r="M747" s="59"/>
      <c r="N747" s="59"/>
      <c r="O747" s="7"/>
      <c r="P747" s="6"/>
      <c r="Q747" s="6"/>
      <c r="R747" s="6"/>
      <c r="S747" s="6"/>
      <c r="T747" s="6"/>
      <c r="U747" s="6"/>
      <c r="V747" s="6"/>
      <c r="W747" s="6"/>
      <c r="X747" s="6"/>
      <c r="Y747" s="6"/>
      <c r="Z747" s="6"/>
      <c r="AA747" s="6"/>
    </row>
    <row r="748" ht="15.75" customHeight="1">
      <c r="A748" s="59"/>
      <c r="B748" s="59"/>
      <c r="C748" s="59"/>
      <c r="D748" s="59"/>
      <c r="E748" s="59"/>
      <c r="F748" s="59"/>
      <c r="G748" s="59"/>
      <c r="H748" s="59"/>
      <c r="I748" s="59"/>
      <c r="J748" s="59"/>
      <c r="K748" s="59"/>
      <c r="L748" s="59"/>
      <c r="M748" s="59"/>
      <c r="N748" s="59"/>
      <c r="O748" s="7"/>
      <c r="P748" s="6"/>
      <c r="Q748" s="6"/>
      <c r="R748" s="6"/>
      <c r="S748" s="6"/>
      <c r="T748" s="6"/>
      <c r="U748" s="6"/>
      <c r="V748" s="6"/>
      <c r="W748" s="6"/>
      <c r="X748" s="6"/>
      <c r="Y748" s="6"/>
      <c r="Z748" s="6"/>
      <c r="AA748" s="6"/>
    </row>
    <row r="749" ht="15.75" customHeight="1">
      <c r="A749" s="59"/>
      <c r="B749" s="59"/>
      <c r="C749" s="59"/>
      <c r="D749" s="59"/>
      <c r="E749" s="59"/>
      <c r="F749" s="59"/>
      <c r="G749" s="59"/>
      <c r="H749" s="59"/>
      <c r="I749" s="59"/>
      <c r="J749" s="59"/>
      <c r="K749" s="59"/>
      <c r="L749" s="59"/>
      <c r="M749" s="59"/>
      <c r="N749" s="59"/>
      <c r="O749" s="7"/>
      <c r="P749" s="6"/>
      <c r="Q749" s="6"/>
      <c r="R749" s="6"/>
      <c r="S749" s="6"/>
      <c r="T749" s="6"/>
      <c r="U749" s="6"/>
      <c r="V749" s="6"/>
      <c r="W749" s="6"/>
      <c r="X749" s="6"/>
      <c r="Y749" s="6"/>
      <c r="Z749" s="6"/>
      <c r="AA749" s="6"/>
    </row>
    <row r="750" ht="15.75" customHeight="1">
      <c r="A750" s="59"/>
      <c r="B750" s="59"/>
      <c r="C750" s="59"/>
      <c r="D750" s="59"/>
      <c r="E750" s="59"/>
      <c r="F750" s="59"/>
      <c r="G750" s="59"/>
      <c r="H750" s="59"/>
      <c r="I750" s="59"/>
      <c r="J750" s="59"/>
      <c r="K750" s="59"/>
      <c r="L750" s="59"/>
      <c r="M750" s="59"/>
      <c r="N750" s="59"/>
      <c r="O750" s="7"/>
      <c r="P750" s="6"/>
      <c r="Q750" s="6"/>
      <c r="R750" s="6"/>
      <c r="S750" s="6"/>
      <c r="T750" s="6"/>
      <c r="U750" s="6"/>
      <c r="V750" s="6"/>
      <c r="W750" s="6"/>
      <c r="X750" s="6"/>
      <c r="Y750" s="6"/>
      <c r="Z750" s="6"/>
      <c r="AA750" s="6"/>
    </row>
    <row r="751" ht="15.75" customHeight="1">
      <c r="A751" s="59"/>
      <c r="B751" s="59"/>
      <c r="C751" s="59"/>
      <c r="D751" s="59"/>
      <c r="E751" s="59"/>
      <c r="F751" s="59"/>
      <c r="G751" s="59"/>
      <c r="H751" s="59"/>
      <c r="I751" s="59"/>
      <c r="J751" s="59"/>
      <c r="K751" s="59"/>
      <c r="L751" s="59"/>
      <c r="M751" s="59"/>
      <c r="N751" s="59"/>
      <c r="O751" s="7"/>
      <c r="P751" s="6"/>
      <c r="Q751" s="6"/>
      <c r="R751" s="6"/>
      <c r="S751" s="6"/>
      <c r="T751" s="6"/>
      <c r="U751" s="6"/>
      <c r="V751" s="6"/>
      <c r="W751" s="6"/>
      <c r="X751" s="6"/>
      <c r="Y751" s="6"/>
      <c r="Z751" s="6"/>
      <c r="AA751" s="6"/>
    </row>
    <row r="752" ht="15.75" customHeight="1">
      <c r="A752" s="59"/>
      <c r="B752" s="59"/>
      <c r="C752" s="59"/>
      <c r="D752" s="59"/>
      <c r="E752" s="59"/>
      <c r="F752" s="59"/>
      <c r="G752" s="59"/>
      <c r="H752" s="59"/>
      <c r="I752" s="59"/>
      <c r="J752" s="59"/>
      <c r="K752" s="59"/>
      <c r="L752" s="59"/>
      <c r="M752" s="59"/>
      <c r="N752" s="59"/>
      <c r="O752" s="7"/>
      <c r="P752" s="6"/>
      <c r="Q752" s="6"/>
      <c r="R752" s="6"/>
      <c r="S752" s="6"/>
      <c r="T752" s="6"/>
      <c r="U752" s="6"/>
      <c r="V752" s="6"/>
      <c r="W752" s="6"/>
      <c r="X752" s="6"/>
      <c r="Y752" s="6"/>
      <c r="Z752" s="6"/>
      <c r="AA752" s="6"/>
    </row>
    <row r="753" ht="15.75" customHeight="1">
      <c r="A753" s="59"/>
      <c r="B753" s="59"/>
      <c r="C753" s="59"/>
      <c r="D753" s="59"/>
      <c r="E753" s="59"/>
      <c r="F753" s="59"/>
      <c r="G753" s="59"/>
      <c r="H753" s="59"/>
      <c r="I753" s="59"/>
      <c r="J753" s="59"/>
      <c r="K753" s="59"/>
      <c r="L753" s="59"/>
      <c r="M753" s="59"/>
      <c r="N753" s="59"/>
      <c r="O753" s="7"/>
      <c r="P753" s="6"/>
      <c r="Q753" s="6"/>
      <c r="R753" s="6"/>
      <c r="S753" s="6"/>
      <c r="T753" s="6"/>
      <c r="U753" s="6"/>
      <c r="V753" s="6"/>
      <c r="W753" s="6"/>
      <c r="X753" s="6"/>
      <c r="Y753" s="6"/>
      <c r="Z753" s="6"/>
      <c r="AA753" s="6"/>
    </row>
    <row r="754" ht="15.75" customHeight="1">
      <c r="A754" s="59"/>
      <c r="B754" s="59"/>
      <c r="C754" s="59"/>
      <c r="D754" s="59"/>
      <c r="E754" s="59"/>
      <c r="F754" s="59"/>
      <c r="G754" s="59"/>
      <c r="H754" s="59"/>
      <c r="I754" s="59"/>
      <c r="J754" s="59"/>
      <c r="K754" s="59"/>
      <c r="L754" s="59"/>
      <c r="M754" s="59"/>
      <c r="N754" s="59"/>
      <c r="O754" s="7"/>
      <c r="P754" s="6"/>
      <c r="Q754" s="6"/>
      <c r="R754" s="6"/>
      <c r="S754" s="6"/>
      <c r="T754" s="6"/>
      <c r="U754" s="6"/>
      <c r="V754" s="6"/>
      <c r="W754" s="6"/>
      <c r="X754" s="6"/>
      <c r="Y754" s="6"/>
      <c r="Z754" s="6"/>
      <c r="AA754" s="6"/>
    </row>
    <row r="755" ht="15.75" customHeight="1">
      <c r="A755" s="59"/>
      <c r="B755" s="59"/>
      <c r="C755" s="59"/>
      <c r="D755" s="59"/>
      <c r="E755" s="59"/>
      <c r="F755" s="59"/>
      <c r="G755" s="59"/>
      <c r="H755" s="59"/>
      <c r="I755" s="59"/>
      <c r="J755" s="59"/>
      <c r="K755" s="59"/>
      <c r="L755" s="59"/>
      <c r="M755" s="59"/>
      <c r="N755" s="59"/>
      <c r="O755" s="7"/>
      <c r="P755" s="6"/>
      <c r="Q755" s="6"/>
      <c r="R755" s="6"/>
      <c r="S755" s="6"/>
      <c r="T755" s="6"/>
      <c r="U755" s="6"/>
      <c r="V755" s="6"/>
      <c r="W755" s="6"/>
      <c r="X755" s="6"/>
      <c r="Y755" s="6"/>
      <c r="Z755" s="6"/>
      <c r="AA755" s="6"/>
    </row>
    <row r="756" ht="15.75" customHeight="1">
      <c r="A756" s="59"/>
      <c r="B756" s="59"/>
      <c r="C756" s="59"/>
      <c r="D756" s="59"/>
      <c r="E756" s="59"/>
      <c r="F756" s="59"/>
      <c r="G756" s="59"/>
      <c r="H756" s="59"/>
      <c r="I756" s="59"/>
      <c r="J756" s="59"/>
      <c r="K756" s="59"/>
      <c r="L756" s="59"/>
      <c r="M756" s="59"/>
      <c r="N756" s="59"/>
      <c r="O756" s="7"/>
      <c r="P756" s="6"/>
      <c r="Q756" s="6"/>
      <c r="R756" s="6"/>
      <c r="S756" s="6"/>
      <c r="T756" s="6"/>
      <c r="U756" s="6"/>
      <c r="V756" s="6"/>
      <c r="W756" s="6"/>
      <c r="X756" s="6"/>
      <c r="Y756" s="6"/>
      <c r="Z756" s="6"/>
      <c r="AA756" s="6"/>
    </row>
    <row r="757" ht="15.75" customHeight="1">
      <c r="A757" s="59"/>
      <c r="B757" s="59"/>
      <c r="C757" s="59"/>
      <c r="D757" s="59"/>
      <c r="E757" s="59"/>
      <c r="F757" s="59"/>
      <c r="G757" s="59"/>
      <c r="H757" s="59"/>
      <c r="I757" s="59"/>
      <c r="J757" s="59"/>
      <c r="K757" s="59"/>
      <c r="L757" s="59"/>
      <c r="M757" s="59"/>
      <c r="N757" s="59"/>
      <c r="O757" s="7"/>
      <c r="P757" s="6"/>
      <c r="Q757" s="6"/>
      <c r="R757" s="6"/>
      <c r="S757" s="6"/>
      <c r="T757" s="6"/>
      <c r="U757" s="6"/>
      <c r="V757" s="6"/>
      <c r="W757" s="6"/>
      <c r="X757" s="6"/>
      <c r="Y757" s="6"/>
      <c r="Z757" s="6"/>
      <c r="AA757" s="6"/>
    </row>
    <row r="758" ht="15.75" customHeight="1">
      <c r="A758" s="59"/>
      <c r="B758" s="59"/>
      <c r="C758" s="59"/>
      <c r="D758" s="59"/>
      <c r="E758" s="59"/>
      <c r="F758" s="59"/>
      <c r="G758" s="59"/>
      <c r="H758" s="59"/>
      <c r="I758" s="59"/>
      <c r="J758" s="59"/>
      <c r="K758" s="59"/>
      <c r="L758" s="59"/>
      <c r="M758" s="59"/>
      <c r="N758" s="59"/>
      <c r="O758" s="7"/>
      <c r="P758" s="6"/>
      <c r="Q758" s="6"/>
      <c r="R758" s="6"/>
      <c r="S758" s="6"/>
      <c r="T758" s="6"/>
      <c r="U758" s="6"/>
      <c r="V758" s="6"/>
      <c r="W758" s="6"/>
      <c r="X758" s="6"/>
      <c r="Y758" s="6"/>
      <c r="Z758" s="6"/>
      <c r="AA758" s="6"/>
    </row>
    <row r="759" ht="15.75" customHeight="1">
      <c r="A759" s="59"/>
      <c r="B759" s="59"/>
      <c r="C759" s="59"/>
      <c r="D759" s="59"/>
      <c r="E759" s="59"/>
      <c r="F759" s="59"/>
      <c r="G759" s="59"/>
      <c r="H759" s="59"/>
      <c r="I759" s="59"/>
      <c r="J759" s="59"/>
      <c r="K759" s="59"/>
      <c r="L759" s="59"/>
      <c r="M759" s="59"/>
      <c r="N759" s="59"/>
      <c r="O759" s="7"/>
      <c r="P759" s="6"/>
      <c r="Q759" s="6"/>
      <c r="R759" s="6"/>
      <c r="S759" s="6"/>
      <c r="T759" s="6"/>
      <c r="U759" s="6"/>
      <c r="V759" s="6"/>
      <c r="W759" s="6"/>
      <c r="X759" s="6"/>
      <c r="Y759" s="6"/>
      <c r="Z759" s="6"/>
      <c r="AA759" s="6"/>
    </row>
    <row r="760" ht="15.75" customHeight="1">
      <c r="A760" s="59"/>
      <c r="B760" s="59"/>
      <c r="C760" s="59"/>
      <c r="D760" s="59"/>
      <c r="E760" s="59"/>
      <c r="F760" s="59"/>
      <c r="G760" s="59"/>
      <c r="H760" s="59"/>
      <c r="I760" s="59"/>
      <c r="J760" s="59"/>
      <c r="K760" s="59"/>
      <c r="L760" s="59"/>
      <c r="M760" s="59"/>
      <c r="N760" s="59"/>
      <c r="O760" s="7"/>
      <c r="P760" s="6"/>
      <c r="Q760" s="6"/>
      <c r="R760" s="6"/>
      <c r="S760" s="6"/>
      <c r="T760" s="6"/>
      <c r="U760" s="6"/>
      <c r="V760" s="6"/>
      <c r="W760" s="6"/>
      <c r="X760" s="6"/>
      <c r="Y760" s="6"/>
      <c r="Z760" s="6"/>
      <c r="AA760" s="6"/>
    </row>
    <row r="761" ht="15.75" customHeight="1">
      <c r="A761" s="59"/>
      <c r="B761" s="59"/>
      <c r="C761" s="59"/>
      <c r="D761" s="59"/>
      <c r="E761" s="59"/>
      <c r="F761" s="59"/>
      <c r="G761" s="59"/>
      <c r="H761" s="59"/>
      <c r="I761" s="59"/>
      <c r="J761" s="59"/>
      <c r="K761" s="59"/>
      <c r="L761" s="59"/>
      <c r="M761" s="59"/>
      <c r="N761" s="59"/>
      <c r="O761" s="7"/>
      <c r="P761" s="6"/>
      <c r="Q761" s="6"/>
      <c r="R761" s="6"/>
      <c r="S761" s="6"/>
      <c r="T761" s="6"/>
      <c r="U761" s="6"/>
      <c r="V761" s="6"/>
      <c r="W761" s="6"/>
      <c r="X761" s="6"/>
      <c r="Y761" s="6"/>
      <c r="Z761" s="6"/>
      <c r="AA761" s="6"/>
    </row>
    <row r="762" ht="15.75" customHeight="1">
      <c r="A762" s="59"/>
      <c r="B762" s="59"/>
      <c r="C762" s="59"/>
      <c r="D762" s="59"/>
      <c r="E762" s="59"/>
      <c r="F762" s="59"/>
      <c r="G762" s="59"/>
      <c r="H762" s="59"/>
      <c r="I762" s="59"/>
      <c r="J762" s="59"/>
      <c r="K762" s="59"/>
      <c r="L762" s="59"/>
      <c r="M762" s="59"/>
      <c r="N762" s="59"/>
      <c r="O762" s="7"/>
      <c r="P762" s="6"/>
      <c r="Q762" s="6"/>
      <c r="R762" s="6"/>
      <c r="S762" s="6"/>
      <c r="T762" s="6"/>
      <c r="U762" s="6"/>
      <c r="V762" s="6"/>
      <c r="W762" s="6"/>
      <c r="X762" s="6"/>
      <c r="Y762" s="6"/>
      <c r="Z762" s="6"/>
      <c r="AA762" s="6"/>
    </row>
    <row r="763" ht="15.75" customHeight="1">
      <c r="A763" s="59"/>
      <c r="B763" s="59"/>
      <c r="C763" s="59"/>
      <c r="D763" s="59"/>
      <c r="E763" s="59"/>
      <c r="F763" s="59"/>
      <c r="G763" s="59"/>
      <c r="H763" s="59"/>
      <c r="I763" s="59"/>
      <c r="J763" s="59"/>
      <c r="K763" s="59"/>
      <c r="L763" s="59"/>
      <c r="M763" s="59"/>
      <c r="N763" s="59"/>
      <c r="O763" s="7"/>
      <c r="P763" s="6"/>
      <c r="Q763" s="6"/>
      <c r="R763" s="6"/>
      <c r="S763" s="6"/>
      <c r="T763" s="6"/>
      <c r="U763" s="6"/>
      <c r="V763" s="6"/>
      <c r="W763" s="6"/>
      <c r="X763" s="6"/>
      <c r="Y763" s="6"/>
      <c r="Z763" s="6"/>
      <c r="AA763" s="6"/>
    </row>
    <row r="764" ht="15.75" customHeight="1">
      <c r="A764" s="59"/>
      <c r="B764" s="59"/>
      <c r="C764" s="59"/>
      <c r="D764" s="59"/>
      <c r="E764" s="59"/>
      <c r="F764" s="59"/>
      <c r="G764" s="59"/>
      <c r="H764" s="59"/>
      <c r="I764" s="59"/>
      <c r="J764" s="59"/>
      <c r="K764" s="59"/>
      <c r="L764" s="59"/>
      <c r="M764" s="59"/>
      <c r="N764" s="59"/>
      <c r="O764" s="7"/>
      <c r="P764" s="6"/>
      <c r="Q764" s="6"/>
      <c r="R764" s="6"/>
      <c r="S764" s="6"/>
      <c r="T764" s="6"/>
      <c r="U764" s="6"/>
      <c r="V764" s="6"/>
      <c r="W764" s="6"/>
      <c r="X764" s="6"/>
      <c r="Y764" s="6"/>
      <c r="Z764" s="6"/>
      <c r="AA764" s="6"/>
    </row>
    <row r="765" ht="15.75" customHeight="1">
      <c r="A765" s="59"/>
      <c r="B765" s="59"/>
      <c r="C765" s="59"/>
      <c r="D765" s="59"/>
      <c r="E765" s="59"/>
      <c r="F765" s="59"/>
      <c r="G765" s="59"/>
      <c r="H765" s="59"/>
      <c r="I765" s="59"/>
      <c r="J765" s="59"/>
      <c r="K765" s="59"/>
      <c r="L765" s="59"/>
      <c r="M765" s="59"/>
      <c r="N765" s="59"/>
      <c r="O765" s="7"/>
      <c r="P765" s="6"/>
      <c r="Q765" s="6"/>
      <c r="R765" s="6"/>
      <c r="S765" s="6"/>
      <c r="T765" s="6"/>
      <c r="U765" s="6"/>
      <c r="V765" s="6"/>
      <c r="W765" s="6"/>
      <c r="X765" s="6"/>
      <c r="Y765" s="6"/>
      <c r="Z765" s="6"/>
      <c r="AA765" s="6"/>
    </row>
    <row r="766" ht="15.75" customHeight="1">
      <c r="A766" s="59"/>
      <c r="B766" s="59"/>
      <c r="C766" s="59"/>
      <c r="D766" s="59"/>
      <c r="E766" s="59"/>
      <c r="F766" s="59"/>
      <c r="G766" s="59"/>
      <c r="H766" s="59"/>
      <c r="I766" s="59"/>
      <c r="J766" s="59"/>
      <c r="K766" s="59"/>
      <c r="L766" s="59"/>
      <c r="M766" s="59"/>
      <c r="N766" s="59"/>
      <c r="O766" s="7"/>
      <c r="P766" s="6"/>
      <c r="Q766" s="6"/>
      <c r="R766" s="6"/>
      <c r="S766" s="6"/>
      <c r="T766" s="6"/>
      <c r="U766" s="6"/>
      <c r="V766" s="6"/>
      <c r="W766" s="6"/>
      <c r="X766" s="6"/>
      <c r="Y766" s="6"/>
      <c r="Z766" s="6"/>
      <c r="AA766" s="6"/>
    </row>
    <row r="767" ht="15.75" customHeight="1">
      <c r="A767" s="59"/>
      <c r="B767" s="59"/>
      <c r="C767" s="59"/>
      <c r="D767" s="59"/>
      <c r="E767" s="59"/>
      <c r="F767" s="59"/>
      <c r="G767" s="59"/>
      <c r="H767" s="59"/>
      <c r="I767" s="59"/>
      <c r="J767" s="59"/>
      <c r="K767" s="59"/>
      <c r="L767" s="59"/>
      <c r="M767" s="59"/>
      <c r="N767" s="59"/>
      <c r="O767" s="7"/>
      <c r="P767" s="6"/>
      <c r="Q767" s="6"/>
      <c r="R767" s="6"/>
      <c r="S767" s="6"/>
      <c r="T767" s="6"/>
      <c r="U767" s="6"/>
      <c r="V767" s="6"/>
      <c r="W767" s="6"/>
      <c r="X767" s="6"/>
      <c r="Y767" s="6"/>
      <c r="Z767" s="6"/>
      <c r="AA767" s="6"/>
    </row>
    <row r="768" ht="15.75" customHeight="1">
      <c r="A768" s="59"/>
      <c r="B768" s="59"/>
      <c r="C768" s="59"/>
      <c r="D768" s="59"/>
      <c r="E768" s="59"/>
      <c r="F768" s="59"/>
      <c r="G768" s="59"/>
      <c r="H768" s="59"/>
      <c r="I768" s="59"/>
      <c r="J768" s="59"/>
      <c r="K768" s="59"/>
      <c r="L768" s="59"/>
      <c r="M768" s="59"/>
      <c r="N768" s="59"/>
      <c r="O768" s="7"/>
      <c r="P768" s="6"/>
      <c r="Q768" s="6"/>
      <c r="R768" s="6"/>
      <c r="S768" s="6"/>
      <c r="T768" s="6"/>
      <c r="U768" s="6"/>
      <c r="V768" s="6"/>
      <c r="W768" s="6"/>
      <c r="X768" s="6"/>
      <c r="Y768" s="6"/>
      <c r="Z768" s="6"/>
      <c r="AA768" s="6"/>
    </row>
    <row r="769" ht="15.75" customHeight="1">
      <c r="A769" s="59"/>
      <c r="B769" s="59"/>
      <c r="C769" s="59"/>
      <c r="D769" s="59"/>
      <c r="E769" s="59"/>
      <c r="F769" s="59"/>
      <c r="G769" s="59"/>
      <c r="H769" s="59"/>
      <c r="I769" s="59"/>
      <c r="J769" s="59"/>
      <c r="K769" s="59"/>
      <c r="L769" s="59"/>
      <c r="M769" s="59"/>
      <c r="N769" s="59"/>
      <c r="O769" s="7"/>
      <c r="P769" s="6"/>
      <c r="Q769" s="6"/>
      <c r="R769" s="6"/>
      <c r="S769" s="6"/>
      <c r="T769" s="6"/>
      <c r="U769" s="6"/>
      <c r="V769" s="6"/>
      <c r="W769" s="6"/>
      <c r="X769" s="6"/>
      <c r="Y769" s="6"/>
      <c r="Z769" s="6"/>
      <c r="AA769" s="6"/>
    </row>
    <row r="770" ht="15.75" customHeight="1">
      <c r="A770" s="59"/>
      <c r="B770" s="59"/>
      <c r="C770" s="59"/>
      <c r="D770" s="59"/>
      <c r="E770" s="59"/>
      <c r="F770" s="59"/>
      <c r="G770" s="59"/>
      <c r="H770" s="59"/>
      <c r="I770" s="59"/>
      <c r="J770" s="59"/>
      <c r="K770" s="59"/>
      <c r="L770" s="59"/>
      <c r="M770" s="59"/>
      <c r="N770" s="59"/>
      <c r="O770" s="7"/>
      <c r="P770" s="6"/>
      <c r="Q770" s="6"/>
      <c r="R770" s="6"/>
      <c r="S770" s="6"/>
      <c r="T770" s="6"/>
      <c r="U770" s="6"/>
      <c r="V770" s="6"/>
      <c r="W770" s="6"/>
      <c r="X770" s="6"/>
      <c r="Y770" s="6"/>
      <c r="Z770" s="6"/>
      <c r="AA770" s="6"/>
    </row>
    <row r="771" ht="15.75" customHeight="1">
      <c r="A771" s="59"/>
      <c r="B771" s="59"/>
      <c r="C771" s="59"/>
      <c r="D771" s="59"/>
      <c r="E771" s="59"/>
      <c r="F771" s="59"/>
      <c r="G771" s="59"/>
      <c r="H771" s="59"/>
      <c r="I771" s="59"/>
      <c r="J771" s="59"/>
      <c r="K771" s="59"/>
      <c r="L771" s="59"/>
      <c r="M771" s="59"/>
      <c r="N771" s="59"/>
      <c r="O771" s="7"/>
      <c r="P771" s="6"/>
      <c r="Q771" s="6"/>
      <c r="R771" s="6"/>
      <c r="S771" s="6"/>
      <c r="T771" s="6"/>
      <c r="U771" s="6"/>
      <c r="V771" s="6"/>
      <c r="W771" s="6"/>
      <c r="X771" s="6"/>
      <c r="Y771" s="6"/>
      <c r="Z771" s="6"/>
      <c r="AA771" s="6"/>
    </row>
    <row r="772" ht="15.75" customHeight="1">
      <c r="A772" s="59"/>
      <c r="B772" s="59"/>
      <c r="C772" s="59"/>
      <c r="D772" s="59"/>
      <c r="E772" s="59"/>
      <c r="F772" s="59"/>
      <c r="G772" s="59"/>
      <c r="H772" s="59"/>
      <c r="I772" s="59"/>
      <c r="J772" s="59"/>
      <c r="K772" s="59"/>
      <c r="L772" s="59"/>
      <c r="M772" s="59"/>
      <c r="N772" s="59"/>
      <c r="O772" s="7"/>
      <c r="P772" s="6"/>
      <c r="Q772" s="6"/>
      <c r="R772" s="6"/>
      <c r="S772" s="6"/>
      <c r="T772" s="6"/>
      <c r="U772" s="6"/>
      <c r="V772" s="6"/>
      <c r="W772" s="6"/>
      <c r="X772" s="6"/>
      <c r="Y772" s="6"/>
      <c r="Z772" s="6"/>
      <c r="AA772" s="6"/>
    </row>
    <row r="773" ht="15.75" customHeight="1">
      <c r="A773" s="59"/>
      <c r="B773" s="59"/>
      <c r="C773" s="59"/>
      <c r="D773" s="59"/>
      <c r="E773" s="59"/>
      <c r="F773" s="59"/>
      <c r="G773" s="59"/>
      <c r="H773" s="59"/>
      <c r="I773" s="59"/>
      <c r="J773" s="59"/>
      <c r="K773" s="59"/>
      <c r="L773" s="59"/>
      <c r="M773" s="59"/>
      <c r="N773" s="59"/>
      <c r="O773" s="7"/>
      <c r="P773" s="6"/>
      <c r="Q773" s="6"/>
      <c r="R773" s="6"/>
      <c r="S773" s="6"/>
      <c r="T773" s="6"/>
      <c r="U773" s="6"/>
      <c r="V773" s="6"/>
      <c r="W773" s="6"/>
      <c r="X773" s="6"/>
      <c r="Y773" s="6"/>
      <c r="Z773" s="6"/>
      <c r="AA773" s="6"/>
    </row>
    <row r="774" ht="15.75" customHeight="1">
      <c r="A774" s="59"/>
      <c r="B774" s="59"/>
      <c r="C774" s="59"/>
      <c r="D774" s="59"/>
      <c r="E774" s="59"/>
      <c r="F774" s="59"/>
      <c r="G774" s="59"/>
      <c r="H774" s="59"/>
      <c r="I774" s="59"/>
      <c r="J774" s="59"/>
      <c r="K774" s="59"/>
      <c r="L774" s="59"/>
      <c r="M774" s="59"/>
      <c r="N774" s="59"/>
      <c r="O774" s="7"/>
      <c r="P774" s="6"/>
      <c r="Q774" s="6"/>
      <c r="R774" s="6"/>
      <c r="S774" s="6"/>
      <c r="T774" s="6"/>
      <c r="U774" s="6"/>
      <c r="V774" s="6"/>
      <c r="W774" s="6"/>
      <c r="X774" s="6"/>
      <c r="Y774" s="6"/>
      <c r="Z774" s="6"/>
      <c r="AA774" s="6"/>
    </row>
    <row r="775" ht="15.75" customHeight="1">
      <c r="A775" s="59"/>
      <c r="B775" s="59"/>
      <c r="C775" s="59"/>
      <c r="D775" s="59"/>
      <c r="E775" s="59"/>
      <c r="F775" s="59"/>
      <c r="G775" s="59"/>
      <c r="H775" s="59"/>
      <c r="I775" s="59"/>
      <c r="J775" s="59"/>
      <c r="K775" s="59"/>
      <c r="L775" s="59"/>
      <c r="M775" s="59"/>
      <c r="N775" s="59"/>
      <c r="O775" s="7"/>
      <c r="P775" s="6"/>
      <c r="Q775" s="6"/>
      <c r="R775" s="6"/>
      <c r="S775" s="6"/>
      <c r="T775" s="6"/>
      <c r="U775" s="6"/>
      <c r="V775" s="6"/>
      <c r="W775" s="6"/>
      <c r="X775" s="6"/>
      <c r="Y775" s="6"/>
      <c r="Z775" s="6"/>
      <c r="AA775" s="6"/>
    </row>
    <row r="776" ht="15.75" customHeight="1">
      <c r="A776" s="59"/>
      <c r="B776" s="59"/>
      <c r="C776" s="59"/>
      <c r="D776" s="59"/>
      <c r="E776" s="59"/>
      <c r="F776" s="59"/>
      <c r="G776" s="59"/>
      <c r="H776" s="59"/>
      <c r="I776" s="59"/>
      <c r="J776" s="59"/>
      <c r="K776" s="59"/>
      <c r="L776" s="59"/>
      <c r="M776" s="59"/>
      <c r="N776" s="59"/>
      <c r="O776" s="7"/>
      <c r="P776" s="6"/>
      <c r="Q776" s="6"/>
      <c r="R776" s="6"/>
      <c r="S776" s="6"/>
      <c r="T776" s="6"/>
      <c r="U776" s="6"/>
      <c r="V776" s="6"/>
      <c r="W776" s="6"/>
      <c r="X776" s="6"/>
      <c r="Y776" s="6"/>
      <c r="Z776" s="6"/>
      <c r="AA776" s="6"/>
    </row>
    <row r="777" ht="15.75" customHeight="1">
      <c r="A777" s="59"/>
      <c r="B777" s="59"/>
      <c r="C777" s="59"/>
      <c r="D777" s="59"/>
      <c r="E777" s="59"/>
      <c r="F777" s="59"/>
      <c r="G777" s="59"/>
      <c r="H777" s="59"/>
      <c r="I777" s="59"/>
      <c r="J777" s="59"/>
      <c r="K777" s="59"/>
      <c r="L777" s="59"/>
      <c r="M777" s="59"/>
      <c r="N777" s="59"/>
      <c r="O777" s="7"/>
      <c r="P777" s="6"/>
      <c r="Q777" s="6"/>
      <c r="R777" s="6"/>
      <c r="S777" s="6"/>
      <c r="T777" s="6"/>
      <c r="U777" s="6"/>
      <c r="V777" s="6"/>
      <c r="W777" s="6"/>
      <c r="X777" s="6"/>
      <c r="Y777" s="6"/>
      <c r="Z777" s="6"/>
      <c r="AA777" s="6"/>
    </row>
    <row r="778" ht="15.75" customHeight="1">
      <c r="A778" s="59"/>
      <c r="B778" s="59"/>
      <c r="C778" s="59"/>
      <c r="D778" s="59"/>
      <c r="E778" s="59"/>
      <c r="F778" s="59"/>
      <c r="G778" s="59"/>
      <c r="H778" s="59"/>
      <c r="I778" s="59"/>
      <c r="J778" s="59"/>
      <c r="K778" s="59"/>
      <c r="L778" s="59"/>
      <c r="M778" s="59"/>
      <c r="N778" s="59"/>
      <c r="O778" s="7"/>
      <c r="P778" s="6"/>
      <c r="Q778" s="6"/>
      <c r="R778" s="6"/>
      <c r="S778" s="6"/>
      <c r="T778" s="6"/>
      <c r="U778" s="6"/>
      <c r="V778" s="6"/>
      <c r="W778" s="6"/>
      <c r="X778" s="6"/>
      <c r="Y778" s="6"/>
      <c r="Z778" s="6"/>
      <c r="AA778" s="6"/>
    </row>
    <row r="779" ht="15.75" customHeight="1">
      <c r="A779" s="59"/>
      <c r="B779" s="59"/>
      <c r="C779" s="59"/>
      <c r="D779" s="59"/>
      <c r="E779" s="59"/>
      <c r="F779" s="59"/>
      <c r="G779" s="59"/>
      <c r="H779" s="59"/>
      <c r="I779" s="59"/>
      <c r="J779" s="59"/>
      <c r="K779" s="59"/>
      <c r="L779" s="59"/>
      <c r="M779" s="59"/>
      <c r="N779" s="59"/>
      <c r="O779" s="7"/>
      <c r="P779" s="6"/>
      <c r="Q779" s="6"/>
      <c r="R779" s="6"/>
      <c r="S779" s="6"/>
      <c r="T779" s="6"/>
      <c r="U779" s="6"/>
      <c r="V779" s="6"/>
      <c r="W779" s="6"/>
      <c r="X779" s="6"/>
      <c r="Y779" s="6"/>
      <c r="Z779" s="6"/>
      <c r="AA779" s="6"/>
    </row>
    <row r="780" ht="15.75" customHeight="1">
      <c r="A780" s="59"/>
      <c r="B780" s="59"/>
      <c r="C780" s="59"/>
      <c r="D780" s="59"/>
      <c r="E780" s="59"/>
      <c r="F780" s="59"/>
      <c r="G780" s="59"/>
      <c r="H780" s="59"/>
      <c r="I780" s="59"/>
      <c r="J780" s="59"/>
      <c r="K780" s="59"/>
      <c r="L780" s="59"/>
      <c r="M780" s="59"/>
      <c r="N780" s="59"/>
      <c r="O780" s="7"/>
      <c r="P780" s="6"/>
      <c r="Q780" s="6"/>
      <c r="R780" s="6"/>
      <c r="S780" s="6"/>
      <c r="T780" s="6"/>
      <c r="U780" s="6"/>
      <c r="V780" s="6"/>
      <c r="W780" s="6"/>
      <c r="X780" s="6"/>
      <c r="Y780" s="6"/>
      <c r="Z780" s="6"/>
      <c r="AA780" s="6"/>
    </row>
    <row r="781" ht="15.75" customHeight="1">
      <c r="A781" s="59"/>
      <c r="B781" s="59"/>
      <c r="C781" s="59"/>
      <c r="D781" s="59"/>
      <c r="E781" s="59"/>
      <c r="F781" s="59"/>
      <c r="G781" s="59"/>
      <c r="H781" s="59"/>
      <c r="I781" s="59"/>
      <c r="J781" s="59"/>
      <c r="K781" s="59"/>
      <c r="L781" s="59"/>
      <c r="M781" s="59"/>
      <c r="N781" s="59"/>
      <c r="O781" s="7"/>
      <c r="P781" s="6"/>
      <c r="Q781" s="6"/>
      <c r="R781" s="6"/>
      <c r="S781" s="6"/>
      <c r="T781" s="6"/>
      <c r="U781" s="6"/>
      <c r="V781" s="6"/>
      <c r="W781" s="6"/>
      <c r="X781" s="6"/>
      <c r="Y781" s="6"/>
      <c r="Z781" s="6"/>
      <c r="AA781" s="6"/>
    </row>
    <row r="782" ht="15.75" customHeight="1">
      <c r="A782" s="59"/>
      <c r="B782" s="59"/>
      <c r="C782" s="59"/>
      <c r="D782" s="59"/>
      <c r="E782" s="59"/>
      <c r="F782" s="59"/>
      <c r="G782" s="59"/>
      <c r="H782" s="59"/>
      <c r="I782" s="59"/>
      <c r="J782" s="59"/>
      <c r="K782" s="59"/>
      <c r="L782" s="59"/>
      <c r="M782" s="59"/>
      <c r="N782" s="59"/>
      <c r="O782" s="7"/>
      <c r="P782" s="6"/>
      <c r="Q782" s="6"/>
      <c r="R782" s="6"/>
      <c r="S782" s="6"/>
      <c r="T782" s="6"/>
      <c r="U782" s="6"/>
      <c r="V782" s="6"/>
      <c r="W782" s="6"/>
      <c r="X782" s="6"/>
      <c r="Y782" s="6"/>
      <c r="Z782" s="6"/>
      <c r="AA782" s="6"/>
    </row>
    <row r="783" ht="15.75" customHeight="1">
      <c r="A783" s="59"/>
      <c r="B783" s="59"/>
      <c r="C783" s="59"/>
      <c r="D783" s="59"/>
      <c r="E783" s="59"/>
      <c r="F783" s="59"/>
      <c r="G783" s="59"/>
      <c r="H783" s="59"/>
      <c r="I783" s="59"/>
      <c r="J783" s="59"/>
      <c r="K783" s="59"/>
      <c r="L783" s="59"/>
      <c r="M783" s="59"/>
      <c r="N783" s="59"/>
      <c r="O783" s="7"/>
      <c r="P783" s="6"/>
      <c r="Q783" s="6"/>
      <c r="R783" s="6"/>
      <c r="S783" s="6"/>
      <c r="T783" s="6"/>
      <c r="U783" s="6"/>
      <c r="V783" s="6"/>
      <c r="W783" s="6"/>
      <c r="X783" s="6"/>
      <c r="Y783" s="6"/>
      <c r="Z783" s="6"/>
      <c r="AA783" s="6"/>
    </row>
    <row r="784" ht="15.75" customHeight="1">
      <c r="A784" s="59"/>
      <c r="B784" s="59"/>
      <c r="C784" s="59"/>
      <c r="D784" s="59"/>
      <c r="E784" s="59"/>
      <c r="F784" s="59"/>
      <c r="G784" s="59"/>
      <c r="H784" s="59"/>
      <c r="I784" s="59"/>
      <c r="J784" s="59"/>
      <c r="K784" s="59"/>
      <c r="L784" s="59"/>
      <c r="M784" s="59"/>
      <c r="N784" s="59"/>
      <c r="O784" s="7"/>
      <c r="P784" s="6"/>
      <c r="Q784" s="6"/>
      <c r="R784" s="6"/>
      <c r="S784" s="6"/>
      <c r="T784" s="6"/>
      <c r="U784" s="6"/>
      <c r="V784" s="6"/>
      <c r="W784" s="6"/>
      <c r="X784" s="6"/>
      <c r="Y784" s="6"/>
      <c r="Z784" s="6"/>
      <c r="AA784" s="6"/>
    </row>
    <row r="785" ht="15.75" customHeight="1">
      <c r="A785" s="59"/>
      <c r="B785" s="59"/>
      <c r="C785" s="59"/>
      <c r="D785" s="59"/>
      <c r="E785" s="59"/>
      <c r="F785" s="59"/>
      <c r="G785" s="59"/>
      <c r="H785" s="59"/>
      <c r="I785" s="59"/>
      <c r="J785" s="59"/>
      <c r="K785" s="59"/>
      <c r="L785" s="59"/>
      <c r="M785" s="59"/>
      <c r="N785" s="59"/>
      <c r="O785" s="7"/>
      <c r="P785" s="6"/>
      <c r="Q785" s="6"/>
      <c r="R785" s="6"/>
      <c r="S785" s="6"/>
      <c r="T785" s="6"/>
      <c r="U785" s="6"/>
      <c r="V785" s="6"/>
      <c r="W785" s="6"/>
      <c r="X785" s="6"/>
      <c r="Y785" s="6"/>
      <c r="Z785" s="6"/>
      <c r="AA785" s="6"/>
    </row>
    <row r="786" ht="15.75" customHeight="1">
      <c r="A786" s="59"/>
      <c r="B786" s="59"/>
      <c r="C786" s="59"/>
      <c r="D786" s="59"/>
      <c r="E786" s="59"/>
      <c r="F786" s="59"/>
      <c r="G786" s="59"/>
      <c r="H786" s="59"/>
      <c r="I786" s="59"/>
      <c r="J786" s="59"/>
      <c r="K786" s="59"/>
      <c r="L786" s="59"/>
      <c r="M786" s="59"/>
      <c r="N786" s="59"/>
      <c r="O786" s="7"/>
      <c r="P786" s="6"/>
      <c r="Q786" s="6"/>
      <c r="R786" s="6"/>
      <c r="S786" s="6"/>
      <c r="T786" s="6"/>
      <c r="U786" s="6"/>
      <c r="V786" s="6"/>
      <c r="W786" s="6"/>
      <c r="X786" s="6"/>
      <c r="Y786" s="6"/>
      <c r="Z786" s="6"/>
      <c r="AA786" s="6"/>
    </row>
    <row r="787" ht="15.75" customHeight="1">
      <c r="A787" s="59"/>
      <c r="B787" s="59"/>
      <c r="C787" s="59"/>
      <c r="D787" s="59"/>
      <c r="E787" s="59"/>
      <c r="F787" s="59"/>
      <c r="G787" s="59"/>
      <c r="H787" s="59"/>
      <c r="I787" s="59"/>
      <c r="J787" s="59"/>
      <c r="K787" s="59"/>
      <c r="L787" s="59"/>
      <c r="M787" s="59"/>
      <c r="N787" s="59"/>
      <c r="O787" s="7"/>
      <c r="P787" s="6"/>
      <c r="Q787" s="6"/>
      <c r="R787" s="6"/>
      <c r="S787" s="6"/>
      <c r="T787" s="6"/>
      <c r="U787" s="6"/>
      <c r="V787" s="6"/>
      <c r="W787" s="6"/>
      <c r="X787" s="6"/>
      <c r="Y787" s="6"/>
      <c r="Z787" s="6"/>
      <c r="AA787" s="6"/>
    </row>
    <row r="788" ht="15.75" customHeight="1">
      <c r="A788" s="59"/>
      <c r="B788" s="59"/>
      <c r="C788" s="59"/>
      <c r="D788" s="59"/>
      <c r="E788" s="59"/>
      <c r="F788" s="59"/>
      <c r="G788" s="59"/>
      <c r="H788" s="59"/>
      <c r="I788" s="59"/>
      <c r="J788" s="59"/>
      <c r="K788" s="59"/>
      <c r="L788" s="59"/>
      <c r="M788" s="59"/>
      <c r="N788" s="59"/>
      <c r="O788" s="7"/>
      <c r="P788" s="6"/>
      <c r="Q788" s="6"/>
      <c r="R788" s="6"/>
      <c r="S788" s="6"/>
      <c r="T788" s="6"/>
      <c r="U788" s="6"/>
      <c r="V788" s="6"/>
      <c r="W788" s="6"/>
      <c r="X788" s="6"/>
      <c r="Y788" s="6"/>
      <c r="Z788" s="6"/>
      <c r="AA788" s="6"/>
    </row>
    <row r="789" ht="15.75" customHeight="1">
      <c r="A789" s="59"/>
      <c r="B789" s="59"/>
      <c r="C789" s="59"/>
      <c r="D789" s="59"/>
      <c r="E789" s="59"/>
      <c r="F789" s="59"/>
      <c r="G789" s="59"/>
      <c r="H789" s="59"/>
      <c r="I789" s="59"/>
      <c r="J789" s="59"/>
      <c r="K789" s="59"/>
      <c r="L789" s="59"/>
      <c r="M789" s="59"/>
      <c r="N789" s="59"/>
      <c r="O789" s="7"/>
      <c r="P789" s="6"/>
      <c r="Q789" s="6"/>
      <c r="R789" s="6"/>
      <c r="S789" s="6"/>
      <c r="T789" s="6"/>
      <c r="U789" s="6"/>
      <c r="V789" s="6"/>
      <c r="W789" s="6"/>
      <c r="X789" s="6"/>
      <c r="Y789" s="6"/>
      <c r="Z789" s="6"/>
      <c r="AA789" s="6"/>
    </row>
    <row r="790" ht="15.75" customHeight="1">
      <c r="A790" s="59"/>
      <c r="B790" s="59"/>
      <c r="C790" s="59"/>
      <c r="D790" s="59"/>
      <c r="E790" s="59"/>
      <c r="F790" s="59"/>
      <c r="G790" s="59"/>
      <c r="H790" s="59"/>
      <c r="I790" s="59"/>
      <c r="J790" s="59"/>
      <c r="K790" s="59"/>
      <c r="L790" s="59"/>
      <c r="M790" s="59"/>
      <c r="N790" s="59"/>
      <c r="O790" s="7"/>
      <c r="P790" s="6"/>
      <c r="Q790" s="6"/>
      <c r="R790" s="6"/>
      <c r="S790" s="6"/>
      <c r="T790" s="6"/>
      <c r="U790" s="6"/>
      <c r="V790" s="6"/>
      <c r="W790" s="6"/>
      <c r="X790" s="6"/>
      <c r="Y790" s="6"/>
      <c r="Z790" s="6"/>
      <c r="AA790" s="6"/>
    </row>
    <row r="791" ht="15.75" customHeight="1">
      <c r="A791" s="59"/>
      <c r="B791" s="59"/>
      <c r="C791" s="59"/>
      <c r="D791" s="59"/>
      <c r="E791" s="59"/>
      <c r="F791" s="59"/>
      <c r="G791" s="59"/>
      <c r="H791" s="59"/>
      <c r="I791" s="59"/>
      <c r="J791" s="59"/>
      <c r="K791" s="59"/>
      <c r="L791" s="59"/>
      <c r="M791" s="59"/>
      <c r="N791" s="59"/>
      <c r="O791" s="7"/>
      <c r="P791" s="6"/>
      <c r="Q791" s="6"/>
      <c r="R791" s="6"/>
      <c r="S791" s="6"/>
      <c r="T791" s="6"/>
      <c r="U791" s="6"/>
      <c r="V791" s="6"/>
      <c r="W791" s="6"/>
      <c r="X791" s="6"/>
      <c r="Y791" s="6"/>
      <c r="Z791" s="6"/>
      <c r="AA791" s="6"/>
    </row>
    <row r="792" ht="15.75" customHeight="1">
      <c r="A792" s="59"/>
      <c r="B792" s="59"/>
      <c r="C792" s="59"/>
      <c r="D792" s="59"/>
      <c r="E792" s="59"/>
      <c r="F792" s="59"/>
      <c r="G792" s="59"/>
      <c r="H792" s="59"/>
      <c r="I792" s="59"/>
      <c r="J792" s="59"/>
      <c r="K792" s="59"/>
      <c r="L792" s="59"/>
      <c r="M792" s="59"/>
      <c r="N792" s="59"/>
      <c r="O792" s="7"/>
      <c r="P792" s="6"/>
      <c r="Q792" s="6"/>
      <c r="R792" s="6"/>
      <c r="S792" s="6"/>
      <c r="T792" s="6"/>
      <c r="U792" s="6"/>
      <c r="V792" s="6"/>
      <c r="W792" s="6"/>
      <c r="X792" s="6"/>
      <c r="Y792" s="6"/>
      <c r="Z792" s="6"/>
      <c r="AA792" s="6"/>
    </row>
    <row r="793" ht="15.75" customHeight="1">
      <c r="A793" s="59"/>
      <c r="B793" s="59"/>
      <c r="C793" s="59"/>
      <c r="D793" s="59"/>
      <c r="E793" s="59"/>
      <c r="F793" s="59"/>
      <c r="G793" s="59"/>
      <c r="H793" s="59"/>
      <c r="I793" s="59"/>
      <c r="J793" s="59"/>
      <c r="K793" s="59"/>
      <c r="L793" s="59"/>
      <c r="M793" s="59"/>
      <c r="N793" s="59"/>
      <c r="O793" s="7"/>
      <c r="P793" s="6"/>
      <c r="Q793" s="6"/>
      <c r="R793" s="6"/>
      <c r="S793" s="6"/>
      <c r="T793" s="6"/>
      <c r="U793" s="6"/>
      <c r="V793" s="6"/>
      <c r="W793" s="6"/>
      <c r="X793" s="6"/>
      <c r="Y793" s="6"/>
      <c r="Z793" s="6"/>
      <c r="AA793" s="6"/>
    </row>
    <row r="794" ht="15.75" customHeight="1">
      <c r="A794" s="59"/>
      <c r="B794" s="59"/>
      <c r="C794" s="59"/>
      <c r="D794" s="59"/>
      <c r="E794" s="59"/>
      <c r="F794" s="59"/>
      <c r="G794" s="59"/>
      <c r="H794" s="59"/>
      <c r="I794" s="59"/>
      <c r="J794" s="59"/>
      <c r="K794" s="59"/>
      <c r="L794" s="59"/>
      <c r="M794" s="59"/>
      <c r="N794" s="59"/>
      <c r="O794" s="7"/>
      <c r="P794" s="6"/>
      <c r="Q794" s="6"/>
      <c r="R794" s="6"/>
      <c r="S794" s="6"/>
      <c r="T794" s="6"/>
      <c r="U794" s="6"/>
      <c r="V794" s="6"/>
      <c r="W794" s="6"/>
      <c r="X794" s="6"/>
      <c r="Y794" s="6"/>
      <c r="Z794" s="6"/>
      <c r="AA794" s="6"/>
    </row>
    <row r="795" ht="15.75" customHeight="1">
      <c r="A795" s="59"/>
      <c r="B795" s="59"/>
      <c r="C795" s="59"/>
      <c r="D795" s="59"/>
      <c r="E795" s="59"/>
      <c r="F795" s="59"/>
      <c r="G795" s="59"/>
      <c r="H795" s="59"/>
      <c r="I795" s="59"/>
      <c r="J795" s="59"/>
      <c r="K795" s="59"/>
      <c r="L795" s="59"/>
      <c r="M795" s="59"/>
      <c r="N795" s="59"/>
      <c r="O795" s="7"/>
      <c r="P795" s="6"/>
      <c r="Q795" s="6"/>
      <c r="R795" s="6"/>
      <c r="S795" s="6"/>
      <c r="T795" s="6"/>
      <c r="U795" s="6"/>
      <c r="V795" s="6"/>
      <c r="W795" s="6"/>
      <c r="X795" s="6"/>
      <c r="Y795" s="6"/>
      <c r="Z795" s="6"/>
      <c r="AA795" s="6"/>
    </row>
    <row r="796" ht="15.75" customHeight="1">
      <c r="A796" s="59"/>
      <c r="B796" s="59"/>
      <c r="C796" s="59"/>
      <c r="D796" s="59"/>
      <c r="E796" s="59"/>
      <c r="F796" s="59"/>
      <c r="G796" s="59"/>
      <c r="H796" s="59"/>
      <c r="I796" s="59"/>
      <c r="J796" s="59"/>
      <c r="K796" s="59"/>
      <c r="L796" s="59"/>
      <c r="M796" s="59"/>
      <c r="N796" s="59"/>
      <c r="O796" s="7"/>
      <c r="P796" s="6"/>
      <c r="Q796" s="6"/>
      <c r="R796" s="6"/>
      <c r="S796" s="6"/>
      <c r="T796" s="6"/>
      <c r="U796" s="6"/>
      <c r="V796" s="6"/>
      <c r="W796" s="6"/>
      <c r="X796" s="6"/>
      <c r="Y796" s="6"/>
      <c r="Z796" s="6"/>
      <c r="AA796" s="6"/>
    </row>
    <row r="797" ht="15.75" customHeight="1">
      <c r="A797" s="59"/>
      <c r="B797" s="59"/>
      <c r="C797" s="59"/>
      <c r="D797" s="59"/>
      <c r="E797" s="59"/>
      <c r="F797" s="59"/>
      <c r="G797" s="59"/>
      <c r="H797" s="59"/>
      <c r="I797" s="59"/>
      <c r="J797" s="59"/>
      <c r="K797" s="59"/>
      <c r="L797" s="59"/>
      <c r="M797" s="59"/>
      <c r="N797" s="59"/>
      <c r="O797" s="7"/>
      <c r="P797" s="6"/>
      <c r="Q797" s="6"/>
      <c r="R797" s="6"/>
      <c r="S797" s="6"/>
      <c r="T797" s="6"/>
      <c r="U797" s="6"/>
      <c r="V797" s="6"/>
      <c r="W797" s="6"/>
      <c r="X797" s="6"/>
      <c r="Y797" s="6"/>
      <c r="Z797" s="6"/>
      <c r="AA797" s="6"/>
    </row>
    <row r="798" ht="15.75" customHeight="1">
      <c r="A798" s="59"/>
      <c r="B798" s="59"/>
      <c r="C798" s="59"/>
      <c r="D798" s="59"/>
      <c r="E798" s="59"/>
      <c r="F798" s="59"/>
      <c r="G798" s="59"/>
      <c r="H798" s="59"/>
      <c r="I798" s="59"/>
      <c r="J798" s="59"/>
      <c r="K798" s="59"/>
      <c r="L798" s="59"/>
      <c r="M798" s="59"/>
      <c r="N798" s="59"/>
      <c r="O798" s="7"/>
      <c r="P798" s="6"/>
      <c r="Q798" s="6"/>
      <c r="R798" s="6"/>
      <c r="S798" s="6"/>
      <c r="T798" s="6"/>
      <c r="U798" s="6"/>
      <c r="V798" s="6"/>
      <c r="W798" s="6"/>
      <c r="X798" s="6"/>
      <c r="Y798" s="6"/>
      <c r="Z798" s="6"/>
      <c r="AA798" s="6"/>
    </row>
    <row r="799" ht="15.75" customHeight="1">
      <c r="A799" s="59"/>
      <c r="B799" s="59"/>
      <c r="C799" s="59"/>
      <c r="D799" s="59"/>
      <c r="E799" s="59"/>
      <c r="F799" s="59"/>
      <c r="G799" s="59"/>
      <c r="H799" s="59"/>
      <c r="I799" s="59"/>
      <c r="J799" s="59"/>
      <c r="K799" s="59"/>
      <c r="L799" s="59"/>
      <c r="M799" s="59"/>
      <c r="N799" s="59"/>
      <c r="O799" s="7"/>
      <c r="P799" s="6"/>
      <c r="Q799" s="6"/>
      <c r="R799" s="6"/>
      <c r="S799" s="6"/>
      <c r="T799" s="6"/>
      <c r="U799" s="6"/>
      <c r="V799" s="6"/>
      <c r="W799" s="6"/>
      <c r="X799" s="6"/>
      <c r="Y799" s="6"/>
      <c r="Z799" s="6"/>
      <c r="AA799" s="6"/>
    </row>
    <row r="800" ht="15.75" customHeight="1">
      <c r="A800" s="59"/>
      <c r="B800" s="59"/>
      <c r="C800" s="59"/>
      <c r="D800" s="59"/>
      <c r="E800" s="59"/>
      <c r="F800" s="59"/>
      <c r="G800" s="59"/>
      <c r="H800" s="59"/>
      <c r="I800" s="59"/>
      <c r="J800" s="59"/>
      <c r="K800" s="59"/>
      <c r="L800" s="59"/>
      <c r="M800" s="59"/>
      <c r="N800" s="59"/>
      <c r="O800" s="7"/>
      <c r="P800" s="6"/>
      <c r="Q800" s="6"/>
      <c r="R800" s="6"/>
      <c r="S800" s="6"/>
      <c r="T800" s="6"/>
      <c r="U800" s="6"/>
      <c r="V800" s="6"/>
      <c r="W800" s="6"/>
      <c r="X800" s="6"/>
      <c r="Y800" s="6"/>
      <c r="Z800" s="6"/>
      <c r="AA800" s="6"/>
    </row>
    <row r="801" ht="15.75" customHeight="1">
      <c r="A801" s="59"/>
      <c r="B801" s="59"/>
      <c r="C801" s="59"/>
      <c r="D801" s="59"/>
      <c r="E801" s="59"/>
      <c r="F801" s="59"/>
      <c r="G801" s="59"/>
      <c r="H801" s="59"/>
      <c r="I801" s="59"/>
      <c r="J801" s="59"/>
      <c r="K801" s="59"/>
      <c r="L801" s="59"/>
      <c r="M801" s="59"/>
      <c r="N801" s="59"/>
      <c r="O801" s="7"/>
      <c r="P801" s="6"/>
      <c r="Q801" s="6"/>
      <c r="R801" s="6"/>
      <c r="S801" s="6"/>
      <c r="T801" s="6"/>
      <c r="U801" s="6"/>
      <c r="V801" s="6"/>
      <c r="W801" s="6"/>
      <c r="X801" s="6"/>
      <c r="Y801" s="6"/>
      <c r="Z801" s="6"/>
      <c r="AA801" s="6"/>
    </row>
    <row r="802" ht="15.75" customHeight="1">
      <c r="A802" s="59"/>
      <c r="B802" s="59"/>
      <c r="C802" s="59"/>
      <c r="D802" s="59"/>
      <c r="E802" s="59"/>
      <c r="F802" s="59"/>
      <c r="G802" s="59"/>
      <c r="H802" s="59"/>
      <c r="I802" s="59"/>
      <c r="J802" s="59"/>
      <c r="K802" s="59"/>
      <c r="L802" s="59"/>
      <c r="M802" s="59"/>
      <c r="N802" s="59"/>
      <c r="O802" s="7"/>
      <c r="P802" s="6"/>
      <c r="Q802" s="6"/>
      <c r="R802" s="6"/>
      <c r="S802" s="6"/>
      <c r="T802" s="6"/>
      <c r="U802" s="6"/>
      <c r="V802" s="6"/>
      <c r="W802" s="6"/>
      <c r="X802" s="6"/>
      <c r="Y802" s="6"/>
      <c r="Z802" s="6"/>
      <c r="AA802" s="6"/>
    </row>
    <row r="803" ht="15.75" customHeight="1">
      <c r="A803" s="59"/>
      <c r="B803" s="59"/>
      <c r="C803" s="59"/>
      <c r="D803" s="59"/>
      <c r="E803" s="59"/>
      <c r="F803" s="59"/>
      <c r="G803" s="59"/>
      <c r="H803" s="59"/>
      <c r="I803" s="59"/>
      <c r="J803" s="59"/>
      <c r="K803" s="59"/>
      <c r="L803" s="59"/>
      <c r="M803" s="59"/>
      <c r="N803" s="59"/>
      <c r="O803" s="7"/>
      <c r="P803" s="6"/>
      <c r="Q803" s="6"/>
      <c r="R803" s="6"/>
      <c r="S803" s="6"/>
      <c r="T803" s="6"/>
      <c r="U803" s="6"/>
      <c r="V803" s="6"/>
      <c r="W803" s="6"/>
      <c r="X803" s="6"/>
      <c r="Y803" s="6"/>
      <c r="Z803" s="6"/>
      <c r="AA803" s="6"/>
    </row>
    <row r="804" ht="15.75" customHeight="1">
      <c r="A804" s="59"/>
      <c r="B804" s="59"/>
      <c r="C804" s="59"/>
      <c r="D804" s="59"/>
      <c r="E804" s="59"/>
      <c r="F804" s="59"/>
      <c r="G804" s="59"/>
      <c r="H804" s="59"/>
      <c r="I804" s="59"/>
      <c r="J804" s="59"/>
      <c r="K804" s="59"/>
      <c r="L804" s="59"/>
      <c r="M804" s="59"/>
      <c r="N804" s="59"/>
      <c r="O804" s="7"/>
      <c r="P804" s="6"/>
      <c r="Q804" s="6"/>
      <c r="R804" s="6"/>
      <c r="S804" s="6"/>
      <c r="T804" s="6"/>
      <c r="U804" s="6"/>
      <c r="V804" s="6"/>
      <c r="W804" s="6"/>
      <c r="X804" s="6"/>
      <c r="Y804" s="6"/>
      <c r="Z804" s="6"/>
      <c r="AA804" s="6"/>
    </row>
    <row r="805" ht="15.75" customHeight="1">
      <c r="A805" s="59"/>
      <c r="B805" s="59"/>
      <c r="C805" s="59"/>
      <c r="D805" s="59"/>
      <c r="E805" s="59"/>
      <c r="F805" s="59"/>
      <c r="G805" s="59"/>
      <c r="H805" s="59"/>
      <c r="I805" s="59"/>
      <c r="J805" s="59"/>
      <c r="K805" s="59"/>
      <c r="L805" s="59"/>
      <c r="M805" s="59"/>
      <c r="N805" s="59"/>
      <c r="O805" s="7"/>
      <c r="P805" s="6"/>
      <c r="Q805" s="6"/>
      <c r="R805" s="6"/>
      <c r="S805" s="6"/>
      <c r="T805" s="6"/>
      <c r="U805" s="6"/>
      <c r="V805" s="6"/>
      <c r="W805" s="6"/>
      <c r="X805" s="6"/>
      <c r="Y805" s="6"/>
      <c r="Z805" s="6"/>
      <c r="AA805" s="6"/>
    </row>
    <row r="806" ht="15.75" customHeight="1">
      <c r="A806" s="59"/>
      <c r="B806" s="59"/>
      <c r="C806" s="59"/>
      <c r="D806" s="59"/>
      <c r="E806" s="59"/>
      <c r="F806" s="59"/>
      <c r="G806" s="59"/>
      <c r="H806" s="59"/>
      <c r="I806" s="59"/>
      <c r="J806" s="59"/>
      <c r="K806" s="59"/>
      <c r="L806" s="59"/>
      <c r="M806" s="59"/>
      <c r="N806" s="59"/>
      <c r="O806" s="7"/>
      <c r="P806" s="6"/>
      <c r="Q806" s="6"/>
      <c r="R806" s="6"/>
      <c r="S806" s="6"/>
      <c r="T806" s="6"/>
      <c r="U806" s="6"/>
      <c r="V806" s="6"/>
      <c r="W806" s="6"/>
      <c r="X806" s="6"/>
      <c r="Y806" s="6"/>
      <c r="Z806" s="6"/>
      <c r="AA806" s="6"/>
    </row>
    <row r="807" ht="15.75" customHeight="1">
      <c r="A807" s="59"/>
      <c r="B807" s="59"/>
      <c r="C807" s="59"/>
      <c r="D807" s="59"/>
      <c r="E807" s="59"/>
      <c r="F807" s="59"/>
      <c r="G807" s="59"/>
      <c r="H807" s="59"/>
      <c r="I807" s="59"/>
      <c r="J807" s="59"/>
      <c r="K807" s="59"/>
      <c r="L807" s="59"/>
      <c r="M807" s="59"/>
      <c r="N807" s="59"/>
      <c r="O807" s="7"/>
      <c r="P807" s="6"/>
      <c r="Q807" s="6"/>
      <c r="R807" s="6"/>
      <c r="S807" s="6"/>
      <c r="T807" s="6"/>
      <c r="U807" s="6"/>
      <c r="V807" s="6"/>
      <c r="W807" s="6"/>
      <c r="X807" s="6"/>
      <c r="Y807" s="6"/>
      <c r="Z807" s="6"/>
      <c r="AA807" s="6"/>
    </row>
    <row r="808" ht="15.75" customHeight="1">
      <c r="A808" s="59"/>
      <c r="B808" s="59"/>
      <c r="C808" s="59"/>
      <c r="D808" s="59"/>
      <c r="E808" s="59"/>
      <c r="F808" s="59"/>
      <c r="G808" s="59"/>
      <c r="H808" s="59"/>
      <c r="I808" s="59"/>
      <c r="J808" s="59"/>
      <c r="K808" s="59"/>
      <c r="L808" s="59"/>
      <c r="M808" s="59"/>
      <c r="N808" s="59"/>
      <c r="O808" s="7"/>
      <c r="P808" s="6"/>
      <c r="Q808" s="6"/>
      <c r="R808" s="6"/>
      <c r="S808" s="6"/>
      <c r="T808" s="6"/>
      <c r="U808" s="6"/>
      <c r="V808" s="6"/>
      <c r="W808" s="6"/>
      <c r="X808" s="6"/>
      <c r="Y808" s="6"/>
      <c r="Z808" s="6"/>
      <c r="AA808" s="6"/>
    </row>
    <row r="809" ht="15.75" customHeight="1">
      <c r="A809" s="59"/>
      <c r="B809" s="59"/>
      <c r="C809" s="59"/>
      <c r="D809" s="59"/>
      <c r="E809" s="59"/>
      <c r="F809" s="59"/>
      <c r="G809" s="59"/>
      <c r="H809" s="59"/>
      <c r="I809" s="59"/>
      <c r="J809" s="59"/>
      <c r="K809" s="59"/>
      <c r="L809" s="59"/>
      <c r="M809" s="59"/>
      <c r="N809" s="59"/>
      <c r="O809" s="7"/>
      <c r="P809" s="6"/>
      <c r="Q809" s="6"/>
      <c r="R809" s="6"/>
      <c r="S809" s="6"/>
      <c r="T809" s="6"/>
      <c r="U809" s="6"/>
      <c r="V809" s="6"/>
      <c r="W809" s="6"/>
      <c r="X809" s="6"/>
      <c r="Y809" s="6"/>
      <c r="Z809" s="6"/>
      <c r="AA809" s="6"/>
    </row>
    <row r="810" ht="15.75" customHeight="1">
      <c r="A810" s="59"/>
      <c r="B810" s="59"/>
      <c r="C810" s="59"/>
      <c r="D810" s="59"/>
      <c r="E810" s="59"/>
      <c r="F810" s="59"/>
      <c r="G810" s="59"/>
      <c r="H810" s="59"/>
      <c r="I810" s="59"/>
      <c r="J810" s="59"/>
      <c r="K810" s="59"/>
      <c r="L810" s="59"/>
      <c r="M810" s="59"/>
      <c r="N810" s="59"/>
      <c r="O810" s="7"/>
      <c r="P810" s="6"/>
      <c r="Q810" s="6"/>
      <c r="R810" s="6"/>
      <c r="S810" s="6"/>
      <c r="T810" s="6"/>
      <c r="U810" s="6"/>
      <c r="V810" s="6"/>
      <c r="W810" s="6"/>
      <c r="X810" s="6"/>
      <c r="Y810" s="6"/>
      <c r="Z810" s="6"/>
      <c r="AA810" s="6"/>
    </row>
    <row r="811" ht="15.75" customHeight="1">
      <c r="A811" s="59"/>
      <c r="B811" s="59"/>
      <c r="C811" s="59"/>
      <c r="D811" s="59"/>
      <c r="E811" s="59"/>
      <c r="F811" s="59"/>
      <c r="G811" s="59"/>
      <c r="H811" s="59"/>
      <c r="I811" s="59"/>
      <c r="J811" s="59"/>
      <c r="K811" s="59"/>
      <c r="L811" s="59"/>
      <c r="M811" s="59"/>
      <c r="N811" s="59"/>
      <c r="O811" s="7"/>
      <c r="P811" s="6"/>
      <c r="Q811" s="6"/>
      <c r="R811" s="6"/>
      <c r="S811" s="6"/>
      <c r="T811" s="6"/>
      <c r="U811" s="6"/>
      <c r="V811" s="6"/>
      <c r="W811" s="6"/>
      <c r="X811" s="6"/>
      <c r="Y811" s="6"/>
      <c r="Z811" s="6"/>
      <c r="AA811" s="6"/>
    </row>
    <row r="812" ht="15.75" customHeight="1">
      <c r="A812" s="59"/>
      <c r="B812" s="59"/>
      <c r="C812" s="59"/>
      <c r="D812" s="59"/>
      <c r="E812" s="59"/>
      <c r="F812" s="59"/>
      <c r="G812" s="59"/>
      <c r="H812" s="59"/>
      <c r="I812" s="59"/>
      <c r="J812" s="59"/>
      <c r="K812" s="59"/>
      <c r="L812" s="59"/>
      <c r="M812" s="59"/>
      <c r="N812" s="59"/>
      <c r="O812" s="7"/>
      <c r="P812" s="6"/>
      <c r="Q812" s="6"/>
      <c r="R812" s="6"/>
      <c r="S812" s="6"/>
      <c r="T812" s="6"/>
      <c r="U812" s="6"/>
      <c r="V812" s="6"/>
      <c r="W812" s="6"/>
      <c r="X812" s="6"/>
      <c r="Y812" s="6"/>
      <c r="Z812" s="6"/>
      <c r="AA812" s="6"/>
    </row>
    <row r="813" ht="15.75" customHeight="1">
      <c r="A813" s="59"/>
      <c r="B813" s="59"/>
      <c r="C813" s="59"/>
      <c r="D813" s="59"/>
      <c r="E813" s="59"/>
      <c r="F813" s="59"/>
      <c r="G813" s="59"/>
      <c r="H813" s="59"/>
      <c r="I813" s="59"/>
      <c r="J813" s="59"/>
      <c r="K813" s="59"/>
      <c r="L813" s="59"/>
      <c r="M813" s="59"/>
      <c r="N813" s="59"/>
      <c r="O813" s="7"/>
      <c r="P813" s="6"/>
      <c r="Q813" s="6"/>
      <c r="R813" s="6"/>
      <c r="S813" s="6"/>
      <c r="T813" s="6"/>
      <c r="U813" s="6"/>
      <c r="V813" s="6"/>
      <c r="W813" s="6"/>
      <c r="X813" s="6"/>
      <c r="Y813" s="6"/>
      <c r="Z813" s="6"/>
      <c r="AA813" s="6"/>
    </row>
    <row r="814" ht="15.75" customHeight="1">
      <c r="A814" s="59"/>
      <c r="B814" s="59"/>
      <c r="C814" s="59"/>
      <c r="D814" s="59"/>
      <c r="E814" s="59"/>
      <c r="F814" s="59"/>
      <c r="G814" s="59"/>
      <c r="H814" s="59"/>
      <c r="I814" s="59"/>
      <c r="J814" s="59"/>
      <c r="K814" s="59"/>
      <c r="L814" s="59"/>
      <c r="M814" s="59"/>
      <c r="N814" s="59"/>
      <c r="O814" s="7"/>
      <c r="P814" s="6"/>
      <c r="Q814" s="6"/>
      <c r="R814" s="6"/>
      <c r="S814" s="6"/>
      <c r="T814" s="6"/>
      <c r="U814" s="6"/>
      <c r="V814" s="6"/>
      <c r="W814" s="6"/>
      <c r="X814" s="6"/>
      <c r="Y814" s="6"/>
      <c r="Z814" s="6"/>
      <c r="AA814" s="6"/>
    </row>
    <row r="815" ht="15.75" customHeight="1">
      <c r="A815" s="59"/>
      <c r="B815" s="59"/>
      <c r="C815" s="59"/>
      <c r="D815" s="59"/>
      <c r="E815" s="59"/>
      <c r="F815" s="59"/>
      <c r="G815" s="59"/>
      <c r="H815" s="59"/>
      <c r="I815" s="59"/>
      <c r="J815" s="59"/>
      <c r="K815" s="59"/>
      <c r="L815" s="59"/>
      <c r="M815" s="59"/>
      <c r="N815" s="59"/>
      <c r="O815" s="7"/>
      <c r="P815" s="6"/>
      <c r="Q815" s="6"/>
      <c r="R815" s="6"/>
      <c r="S815" s="6"/>
      <c r="T815" s="6"/>
      <c r="U815" s="6"/>
      <c r="V815" s="6"/>
      <c r="W815" s="6"/>
      <c r="X815" s="6"/>
      <c r="Y815" s="6"/>
      <c r="Z815" s="6"/>
      <c r="AA815" s="6"/>
    </row>
    <row r="816" ht="15.75" customHeight="1">
      <c r="A816" s="59"/>
      <c r="B816" s="59"/>
      <c r="C816" s="59"/>
      <c r="D816" s="59"/>
      <c r="E816" s="59"/>
      <c r="F816" s="59"/>
      <c r="G816" s="59"/>
      <c r="H816" s="59"/>
      <c r="I816" s="59"/>
      <c r="J816" s="59"/>
      <c r="K816" s="59"/>
      <c r="L816" s="59"/>
      <c r="M816" s="59"/>
      <c r="N816" s="59"/>
      <c r="O816" s="7"/>
      <c r="P816" s="6"/>
      <c r="Q816" s="6"/>
      <c r="R816" s="6"/>
      <c r="S816" s="6"/>
      <c r="T816" s="6"/>
      <c r="U816" s="6"/>
      <c r="V816" s="6"/>
      <c r="W816" s="6"/>
      <c r="X816" s="6"/>
      <c r="Y816" s="6"/>
      <c r="Z816" s="6"/>
      <c r="AA816" s="6"/>
    </row>
    <row r="817" ht="15.75" customHeight="1">
      <c r="A817" s="59"/>
      <c r="B817" s="59"/>
      <c r="C817" s="59"/>
      <c r="D817" s="59"/>
      <c r="E817" s="59"/>
      <c r="F817" s="59"/>
      <c r="G817" s="59"/>
      <c r="H817" s="59"/>
      <c r="I817" s="59"/>
      <c r="J817" s="59"/>
      <c r="K817" s="59"/>
      <c r="L817" s="59"/>
      <c r="M817" s="59"/>
      <c r="N817" s="59"/>
      <c r="O817" s="7"/>
      <c r="P817" s="6"/>
      <c r="Q817" s="6"/>
      <c r="R817" s="6"/>
      <c r="S817" s="6"/>
      <c r="T817" s="6"/>
      <c r="U817" s="6"/>
      <c r="V817" s="6"/>
      <c r="W817" s="6"/>
      <c r="X817" s="6"/>
      <c r="Y817" s="6"/>
      <c r="Z817" s="6"/>
      <c r="AA817" s="6"/>
    </row>
    <row r="818" ht="15.75" customHeight="1">
      <c r="A818" s="59"/>
      <c r="B818" s="59"/>
      <c r="C818" s="59"/>
      <c r="D818" s="59"/>
      <c r="E818" s="59"/>
      <c r="F818" s="59"/>
      <c r="G818" s="59"/>
      <c r="H818" s="59"/>
      <c r="I818" s="59"/>
      <c r="J818" s="59"/>
      <c r="K818" s="59"/>
      <c r="L818" s="59"/>
      <c r="M818" s="59"/>
      <c r="N818" s="59"/>
      <c r="O818" s="7"/>
      <c r="P818" s="6"/>
      <c r="Q818" s="6"/>
      <c r="R818" s="6"/>
      <c r="S818" s="6"/>
      <c r="T818" s="6"/>
      <c r="U818" s="6"/>
      <c r="V818" s="6"/>
      <c r="W818" s="6"/>
      <c r="X818" s="6"/>
      <c r="Y818" s="6"/>
      <c r="Z818" s="6"/>
      <c r="AA818" s="6"/>
    </row>
    <row r="819" ht="15.75" customHeight="1">
      <c r="A819" s="59"/>
      <c r="B819" s="59"/>
      <c r="C819" s="59"/>
      <c r="D819" s="59"/>
      <c r="E819" s="59"/>
      <c r="F819" s="59"/>
      <c r="G819" s="59"/>
      <c r="H819" s="59"/>
      <c r="I819" s="59"/>
      <c r="J819" s="59"/>
      <c r="K819" s="59"/>
      <c r="L819" s="59"/>
      <c r="M819" s="59"/>
      <c r="N819" s="59"/>
      <c r="O819" s="7"/>
      <c r="P819" s="6"/>
      <c r="Q819" s="6"/>
      <c r="R819" s="6"/>
      <c r="S819" s="6"/>
      <c r="T819" s="6"/>
      <c r="U819" s="6"/>
      <c r="V819" s="6"/>
      <c r="W819" s="6"/>
      <c r="X819" s="6"/>
      <c r="Y819" s="6"/>
      <c r="Z819" s="6"/>
      <c r="AA819" s="6"/>
    </row>
    <row r="820" ht="15.75" customHeight="1">
      <c r="A820" s="59"/>
      <c r="B820" s="59"/>
      <c r="C820" s="59"/>
      <c r="D820" s="59"/>
      <c r="E820" s="59"/>
      <c r="F820" s="59"/>
      <c r="G820" s="59"/>
      <c r="H820" s="59"/>
      <c r="I820" s="59"/>
      <c r="J820" s="59"/>
      <c r="K820" s="59"/>
      <c r="L820" s="59"/>
      <c r="M820" s="59"/>
      <c r="N820" s="59"/>
      <c r="O820" s="7"/>
      <c r="P820" s="6"/>
      <c r="Q820" s="6"/>
      <c r="R820" s="6"/>
      <c r="S820" s="6"/>
      <c r="T820" s="6"/>
      <c r="U820" s="6"/>
      <c r="V820" s="6"/>
      <c r="W820" s="6"/>
      <c r="X820" s="6"/>
      <c r="Y820" s="6"/>
      <c r="Z820" s="6"/>
      <c r="AA820" s="6"/>
    </row>
    <row r="821" ht="15.75" customHeight="1">
      <c r="A821" s="59"/>
      <c r="B821" s="59"/>
      <c r="C821" s="59"/>
      <c r="D821" s="59"/>
      <c r="E821" s="59"/>
      <c r="F821" s="59"/>
      <c r="G821" s="59"/>
      <c r="H821" s="59"/>
      <c r="I821" s="59"/>
      <c r="J821" s="59"/>
      <c r="K821" s="59"/>
      <c r="L821" s="59"/>
      <c r="M821" s="59"/>
      <c r="N821" s="59"/>
      <c r="O821" s="7"/>
      <c r="P821" s="6"/>
      <c r="Q821" s="6"/>
      <c r="R821" s="6"/>
      <c r="S821" s="6"/>
      <c r="T821" s="6"/>
      <c r="U821" s="6"/>
      <c r="V821" s="6"/>
      <c r="W821" s="6"/>
      <c r="X821" s="6"/>
      <c r="Y821" s="6"/>
      <c r="Z821" s="6"/>
      <c r="AA821" s="6"/>
    </row>
    <row r="822" ht="15.75" customHeight="1">
      <c r="A822" s="59"/>
      <c r="B822" s="59"/>
      <c r="C822" s="59"/>
      <c r="D822" s="59"/>
      <c r="E822" s="59"/>
      <c r="F822" s="59"/>
      <c r="G822" s="59"/>
      <c r="H822" s="59"/>
      <c r="I822" s="59"/>
      <c r="J822" s="59"/>
      <c r="K822" s="59"/>
      <c r="L822" s="59"/>
      <c r="M822" s="59"/>
      <c r="N822" s="59"/>
      <c r="O822" s="7"/>
      <c r="P822" s="6"/>
      <c r="Q822" s="6"/>
      <c r="R822" s="6"/>
      <c r="S822" s="6"/>
      <c r="T822" s="6"/>
      <c r="U822" s="6"/>
      <c r="V822" s="6"/>
      <c r="W822" s="6"/>
      <c r="X822" s="6"/>
      <c r="Y822" s="6"/>
      <c r="Z822" s="6"/>
      <c r="AA822" s="6"/>
    </row>
    <row r="823" ht="15.75" customHeight="1">
      <c r="A823" s="59"/>
      <c r="B823" s="59"/>
      <c r="C823" s="59"/>
      <c r="D823" s="59"/>
      <c r="E823" s="59"/>
      <c r="F823" s="59"/>
      <c r="G823" s="59"/>
      <c r="H823" s="59"/>
      <c r="I823" s="59"/>
      <c r="J823" s="59"/>
      <c r="K823" s="59"/>
      <c r="L823" s="59"/>
      <c r="M823" s="59"/>
      <c r="N823" s="59"/>
      <c r="O823" s="7"/>
      <c r="P823" s="6"/>
      <c r="Q823" s="6"/>
      <c r="R823" s="6"/>
      <c r="S823" s="6"/>
      <c r="T823" s="6"/>
      <c r="U823" s="6"/>
      <c r="V823" s="6"/>
      <c r="W823" s="6"/>
      <c r="X823" s="6"/>
      <c r="Y823" s="6"/>
      <c r="Z823" s="6"/>
      <c r="AA823" s="6"/>
    </row>
    <row r="824" ht="15.75" customHeight="1">
      <c r="A824" s="59"/>
      <c r="B824" s="59"/>
      <c r="C824" s="59"/>
      <c r="D824" s="59"/>
      <c r="E824" s="59"/>
      <c r="F824" s="59"/>
      <c r="G824" s="59"/>
      <c r="H824" s="59"/>
      <c r="I824" s="59"/>
      <c r="J824" s="59"/>
      <c r="K824" s="59"/>
      <c r="L824" s="59"/>
      <c r="M824" s="59"/>
      <c r="N824" s="59"/>
      <c r="O824" s="7"/>
      <c r="P824" s="6"/>
      <c r="Q824" s="6"/>
      <c r="R824" s="6"/>
      <c r="S824" s="6"/>
      <c r="T824" s="6"/>
      <c r="U824" s="6"/>
      <c r="V824" s="6"/>
      <c r="W824" s="6"/>
      <c r="X824" s="6"/>
      <c r="Y824" s="6"/>
      <c r="Z824" s="6"/>
      <c r="AA824" s="6"/>
    </row>
    <row r="825" ht="15.75" customHeight="1">
      <c r="A825" s="59"/>
      <c r="B825" s="59"/>
      <c r="C825" s="59"/>
      <c r="D825" s="59"/>
      <c r="E825" s="59"/>
      <c r="F825" s="59"/>
      <c r="G825" s="59"/>
      <c r="H825" s="59"/>
      <c r="I825" s="59"/>
      <c r="J825" s="59"/>
      <c r="K825" s="59"/>
      <c r="L825" s="59"/>
      <c r="M825" s="59"/>
      <c r="N825" s="59"/>
      <c r="O825" s="7"/>
      <c r="P825" s="6"/>
      <c r="Q825" s="6"/>
      <c r="R825" s="6"/>
      <c r="S825" s="6"/>
      <c r="T825" s="6"/>
      <c r="U825" s="6"/>
      <c r="V825" s="6"/>
      <c r="W825" s="6"/>
      <c r="X825" s="6"/>
      <c r="Y825" s="6"/>
      <c r="Z825" s="6"/>
      <c r="AA825" s="6"/>
    </row>
    <row r="826" ht="15.75" customHeight="1">
      <c r="A826" s="59"/>
      <c r="B826" s="59"/>
      <c r="C826" s="59"/>
      <c r="D826" s="59"/>
      <c r="E826" s="59"/>
      <c r="F826" s="59"/>
      <c r="G826" s="59"/>
      <c r="H826" s="59"/>
      <c r="I826" s="59"/>
      <c r="J826" s="59"/>
      <c r="K826" s="59"/>
      <c r="L826" s="59"/>
      <c r="M826" s="59"/>
      <c r="N826" s="59"/>
      <c r="O826" s="7"/>
      <c r="P826" s="6"/>
      <c r="Q826" s="6"/>
      <c r="R826" s="6"/>
      <c r="S826" s="6"/>
      <c r="T826" s="6"/>
      <c r="U826" s="6"/>
      <c r="V826" s="6"/>
      <c r="W826" s="6"/>
      <c r="X826" s="6"/>
      <c r="Y826" s="6"/>
      <c r="Z826" s="6"/>
      <c r="AA826" s="6"/>
    </row>
    <row r="827" ht="15.75" customHeight="1">
      <c r="A827" s="59"/>
      <c r="B827" s="59"/>
      <c r="C827" s="59"/>
      <c r="D827" s="59"/>
      <c r="E827" s="59"/>
      <c r="F827" s="59"/>
      <c r="G827" s="59"/>
      <c r="H827" s="59"/>
      <c r="I827" s="59"/>
      <c r="J827" s="59"/>
      <c r="K827" s="59"/>
      <c r="L827" s="59"/>
      <c r="M827" s="59"/>
      <c r="N827" s="59"/>
      <c r="O827" s="7"/>
      <c r="P827" s="6"/>
      <c r="Q827" s="6"/>
      <c r="R827" s="6"/>
      <c r="S827" s="6"/>
      <c r="T827" s="6"/>
      <c r="U827" s="6"/>
      <c r="V827" s="6"/>
      <c r="W827" s="6"/>
      <c r="X827" s="6"/>
      <c r="Y827" s="6"/>
      <c r="Z827" s="6"/>
      <c r="AA827" s="6"/>
    </row>
    <row r="828" ht="15.75" customHeight="1">
      <c r="A828" s="59"/>
      <c r="B828" s="59"/>
      <c r="C828" s="59"/>
      <c r="D828" s="59"/>
      <c r="E828" s="59"/>
      <c r="F828" s="59"/>
      <c r="G828" s="59"/>
      <c r="H828" s="59"/>
      <c r="I828" s="59"/>
      <c r="J828" s="59"/>
      <c r="K828" s="59"/>
      <c r="L828" s="59"/>
      <c r="M828" s="59"/>
      <c r="N828" s="59"/>
      <c r="O828" s="7"/>
      <c r="P828" s="6"/>
      <c r="Q828" s="6"/>
      <c r="R828" s="6"/>
      <c r="S828" s="6"/>
      <c r="T828" s="6"/>
      <c r="U828" s="6"/>
      <c r="V828" s="6"/>
      <c r="W828" s="6"/>
      <c r="X828" s="6"/>
      <c r="Y828" s="6"/>
      <c r="Z828" s="6"/>
      <c r="AA828" s="6"/>
    </row>
    <row r="829" ht="15.75" customHeight="1">
      <c r="A829" s="59"/>
      <c r="B829" s="59"/>
      <c r="C829" s="59"/>
      <c r="D829" s="59"/>
      <c r="E829" s="59"/>
      <c r="F829" s="59"/>
      <c r="G829" s="59"/>
      <c r="H829" s="59"/>
      <c r="I829" s="59"/>
      <c r="J829" s="59"/>
      <c r="K829" s="59"/>
      <c r="L829" s="59"/>
      <c r="M829" s="59"/>
      <c r="N829" s="59"/>
      <c r="O829" s="7"/>
      <c r="P829" s="6"/>
      <c r="Q829" s="6"/>
      <c r="R829" s="6"/>
      <c r="S829" s="6"/>
      <c r="T829" s="6"/>
      <c r="U829" s="6"/>
      <c r="V829" s="6"/>
      <c r="W829" s="6"/>
      <c r="X829" s="6"/>
      <c r="Y829" s="6"/>
      <c r="Z829" s="6"/>
      <c r="AA829" s="6"/>
    </row>
    <row r="830" ht="15.75" customHeight="1">
      <c r="A830" s="59"/>
      <c r="B830" s="59"/>
      <c r="C830" s="59"/>
      <c r="D830" s="59"/>
      <c r="E830" s="59"/>
      <c r="F830" s="59"/>
      <c r="G830" s="59"/>
      <c r="H830" s="59"/>
      <c r="I830" s="59"/>
      <c r="J830" s="59"/>
      <c r="K830" s="59"/>
      <c r="L830" s="59"/>
      <c r="M830" s="59"/>
      <c r="N830" s="59"/>
      <c r="O830" s="7"/>
      <c r="P830" s="6"/>
      <c r="Q830" s="6"/>
      <c r="R830" s="6"/>
      <c r="S830" s="6"/>
      <c r="T830" s="6"/>
      <c r="U830" s="6"/>
      <c r="V830" s="6"/>
      <c r="W830" s="6"/>
      <c r="X830" s="6"/>
      <c r="Y830" s="6"/>
      <c r="Z830" s="6"/>
      <c r="AA830" s="6"/>
    </row>
    <row r="831" ht="15.75" customHeight="1">
      <c r="A831" s="59"/>
      <c r="B831" s="59"/>
      <c r="C831" s="59"/>
      <c r="D831" s="59"/>
      <c r="E831" s="59"/>
      <c r="F831" s="59"/>
      <c r="G831" s="59"/>
      <c r="H831" s="59"/>
      <c r="I831" s="59"/>
      <c r="J831" s="59"/>
      <c r="K831" s="59"/>
      <c r="L831" s="59"/>
      <c r="M831" s="59"/>
      <c r="N831" s="59"/>
      <c r="O831" s="7"/>
      <c r="P831" s="6"/>
      <c r="Q831" s="6"/>
      <c r="R831" s="6"/>
      <c r="S831" s="6"/>
      <c r="T831" s="6"/>
      <c r="U831" s="6"/>
      <c r="V831" s="6"/>
      <c r="W831" s="6"/>
      <c r="X831" s="6"/>
      <c r="Y831" s="6"/>
      <c r="Z831" s="6"/>
      <c r="AA831" s="6"/>
    </row>
    <row r="832" ht="15.75" customHeight="1">
      <c r="A832" s="59"/>
      <c r="B832" s="59"/>
      <c r="C832" s="59"/>
      <c r="D832" s="59"/>
      <c r="E832" s="59"/>
      <c r="F832" s="59"/>
      <c r="G832" s="59"/>
      <c r="H832" s="59"/>
      <c r="I832" s="59"/>
      <c r="J832" s="59"/>
      <c r="K832" s="59"/>
      <c r="L832" s="59"/>
      <c r="M832" s="59"/>
      <c r="N832" s="59"/>
      <c r="O832" s="7"/>
      <c r="P832" s="6"/>
      <c r="Q832" s="6"/>
      <c r="R832" s="6"/>
      <c r="S832" s="6"/>
      <c r="T832" s="6"/>
      <c r="U832" s="6"/>
      <c r="V832" s="6"/>
      <c r="W832" s="6"/>
      <c r="X832" s="6"/>
      <c r="Y832" s="6"/>
      <c r="Z832" s="6"/>
      <c r="AA832" s="6"/>
    </row>
    <row r="833" ht="15.75" customHeight="1">
      <c r="A833" s="59"/>
      <c r="B833" s="59"/>
      <c r="C833" s="59"/>
      <c r="D833" s="59"/>
      <c r="E833" s="59"/>
      <c r="F833" s="59"/>
      <c r="G833" s="59"/>
      <c r="H833" s="59"/>
      <c r="I833" s="59"/>
      <c r="J833" s="59"/>
      <c r="K833" s="59"/>
      <c r="L833" s="59"/>
      <c r="M833" s="59"/>
      <c r="N833" s="59"/>
      <c r="O833" s="7"/>
      <c r="P833" s="6"/>
      <c r="Q833" s="6"/>
      <c r="R833" s="6"/>
      <c r="S833" s="6"/>
      <c r="T833" s="6"/>
      <c r="U833" s="6"/>
      <c r="V833" s="6"/>
      <c r="W833" s="6"/>
      <c r="X833" s="6"/>
      <c r="Y833" s="6"/>
      <c r="Z833" s="6"/>
      <c r="AA833" s="6"/>
    </row>
    <row r="834" ht="15.75" customHeight="1">
      <c r="A834" s="59"/>
      <c r="B834" s="59"/>
      <c r="C834" s="59"/>
      <c r="D834" s="59"/>
      <c r="E834" s="59"/>
      <c r="F834" s="59"/>
      <c r="G834" s="59"/>
      <c r="H834" s="59"/>
      <c r="I834" s="59"/>
      <c r="J834" s="59"/>
      <c r="K834" s="59"/>
      <c r="L834" s="59"/>
      <c r="M834" s="59"/>
      <c r="N834" s="59"/>
      <c r="O834" s="7"/>
      <c r="P834" s="6"/>
      <c r="Q834" s="6"/>
      <c r="R834" s="6"/>
      <c r="S834" s="6"/>
      <c r="T834" s="6"/>
      <c r="U834" s="6"/>
      <c r="V834" s="6"/>
      <c r="W834" s="6"/>
      <c r="X834" s="6"/>
      <c r="Y834" s="6"/>
      <c r="Z834" s="6"/>
      <c r="AA834" s="6"/>
    </row>
    <row r="835" ht="15.75" customHeight="1">
      <c r="A835" s="59"/>
      <c r="B835" s="59"/>
      <c r="C835" s="59"/>
      <c r="D835" s="59"/>
      <c r="E835" s="59"/>
      <c r="F835" s="59"/>
      <c r="G835" s="59"/>
      <c r="H835" s="59"/>
      <c r="I835" s="59"/>
      <c r="J835" s="59"/>
      <c r="K835" s="59"/>
      <c r="L835" s="59"/>
      <c r="M835" s="59"/>
      <c r="N835" s="59"/>
      <c r="O835" s="7"/>
      <c r="P835" s="6"/>
      <c r="Q835" s="6"/>
      <c r="R835" s="6"/>
      <c r="S835" s="6"/>
      <c r="T835" s="6"/>
      <c r="U835" s="6"/>
      <c r="V835" s="6"/>
      <c r="W835" s="6"/>
      <c r="X835" s="6"/>
      <c r="Y835" s="6"/>
      <c r="Z835" s="6"/>
      <c r="AA835" s="6"/>
    </row>
    <row r="836" ht="15.75" customHeight="1">
      <c r="A836" s="59"/>
      <c r="B836" s="59"/>
      <c r="C836" s="59"/>
      <c r="D836" s="59"/>
      <c r="E836" s="59"/>
      <c r="F836" s="59"/>
      <c r="G836" s="59"/>
      <c r="H836" s="59"/>
      <c r="I836" s="59"/>
      <c r="J836" s="59"/>
      <c r="K836" s="59"/>
      <c r="L836" s="59"/>
      <c r="M836" s="59"/>
      <c r="N836" s="59"/>
      <c r="O836" s="7"/>
      <c r="P836" s="6"/>
      <c r="Q836" s="6"/>
      <c r="R836" s="6"/>
      <c r="S836" s="6"/>
      <c r="T836" s="6"/>
      <c r="U836" s="6"/>
      <c r="V836" s="6"/>
      <c r="W836" s="6"/>
      <c r="X836" s="6"/>
      <c r="Y836" s="6"/>
      <c r="Z836" s="6"/>
      <c r="AA836" s="6"/>
    </row>
    <row r="837" ht="15.75" customHeight="1">
      <c r="A837" s="59"/>
      <c r="B837" s="59"/>
      <c r="C837" s="59"/>
      <c r="D837" s="59"/>
      <c r="E837" s="59"/>
      <c r="F837" s="59"/>
      <c r="G837" s="59"/>
      <c r="H837" s="59"/>
      <c r="I837" s="59"/>
      <c r="J837" s="59"/>
      <c r="K837" s="59"/>
      <c r="L837" s="59"/>
      <c r="M837" s="59"/>
      <c r="N837" s="59"/>
      <c r="O837" s="7"/>
      <c r="P837" s="6"/>
      <c r="Q837" s="6"/>
      <c r="R837" s="6"/>
      <c r="S837" s="6"/>
      <c r="T837" s="6"/>
      <c r="U837" s="6"/>
      <c r="V837" s="6"/>
      <c r="W837" s="6"/>
      <c r="X837" s="6"/>
      <c r="Y837" s="6"/>
      <c r="Z837" s="6"/>
      <c r="AA837" s="6"/>
    </row>
    <row r="838" ht="15.75" customHeight="1">
      <c r="A838" s="59"/>
      <c r="B838" s="59"/>
      <c r="C838" s="59"/>
      <c r="D838" s="59"/>
      <c r="E838" s="59"/>
      <c r="F838" s="59"/>
      <c r="G838" s="59"/>
      <c r="H838" s="59"/>
      <c r="I838" s="59"/>
      <c r="J838" s="59"/>
      <c r="K838" s="59"/>
      <c r="L838" s="59"/>
      <c r="M838" s="59"/>
      <c r="N838" s="59"/>
      <c r="O838" s="7"/>
      <c r="P838" s="6"/>
      <c r="Q838" s="6"/>
      <c r="R838" s="6"/>
      <c r="S838" s="6"/>
      <c r="T838" s="6"/>
      <c r="U838" s="6"/>
      <c r="V838" s="6"/>
      <c r="W838" s="6"/>
      <c r="X838" s="6"/>
      <c r="Y838" s="6"/>
      <c r="Z838" s="6"/>
      <c r="AA838" s="6"/>
    </row>
    <row r="839" ht="15.75" customHeight="1">
      <c r="A839" s="59"/>
      <c r="B839" s="59"/>
      <c r="C839" s="59"/>
      <c r="D839" s="59"/>
      <c r="E839" s="59"/>
      <c r="F839" s="59"/>
      <c r="G839" s="59"/>
      <c r="H839" s="59"/>
      <c r="I839" s="59"/>
      <c r="J839" s="59"/>
      <c r="K839" s="59"/>
      <c r="L839" s="59"/>
      <c r="M839" s="59"/>
      <c r="N839" s="59"/>
      <c r="O839" s="7"/>
      <c r="P839" s="6"/>
      <c r="Q839" s="6"/>
      <c r="R839" s="6"/>
      <c r="S839" s="6"/>
      <c r="T839" s="6"/>
      <c r="U839" s="6"/>
      <c r="V839" s="6"/>
      <c r="W839" s="6"/>
      <c r="X839" s="6"/>
      <c r="Y839" s="6"/>
      <c r="Z839" s="6"/>
      <c r="AA839" s="6"/>
    </row>
    <row r="840" ht="15.75" customHeight="1">
      <c r="A840" s="59"/>
      <c r="B840" s="59"/>
      <c r="C840" s="59"/>
      <c r="D840" s="59"/>
      <c r="E840" s="59"/>
      <c r="F840" s="59"/>
      <c r="G840" s="59"/>
      <c r="H840" s="59"/>
      <c r="I840" s="59"/>
      <c r="J840" s="59"/>
      <c r="K840" s="59"/>
      <c r="L840" s="59"/>
      <c r="M840" s="59"/>
      <c r="N840" s="59"/>
      <c r="O840" s="7"/>
      <c r="P840" s="6"/>
      <c r="Q840" s="6"/>
      <c r="R840" s="6"/>
      <c r="S840" s="6"/>
      <c r="T840" s="6"/>
      <c r="U840" s="6"/>
      <c r="V840" s="6"/>
      <c r="W840" s="6"/>
      <c r="X840" s="6"/>
      <c r="Y840" s="6"/>
      <c r="Z840" s="6"/>
      <c r="AA840" s="6"/>
    </row>
    <row r="841" ht="15.75" customHeight="1">
      <c r="A841" s="59"/>
      <c r="B841" s="59"/>
      <c r="C841" s="59"/>
      <c r="D841" s="59"/>
      <c r="E841" s="59"/>
      <c r="F841" s="59"/>
      <c r="G841" s="59"/>
      <c r="H841" s="59"/>
      <c r="I841" s="59"/>
      <c r="J841" s="59"/>
      <c r="K841" s="59"/>
      <c r="L841" s="59"/>
      <c r="M841" s="59"/>
      <c r="N841" s="59"/>
      <c r="O841" s="7"/>
      <c r="P841" s="6"/>
      <c r="Q841" s="6"/>
      <c r="R841" s="6"/>
      <c r="S841" s="6"/>
      <c r="T841" s="6"/>
      <c r="U841" s="6"/>
      <c r="V841" s="6"/>
      <c r="W841" s="6"/>
      <c r="X841" s="6"/>
      <c r="Y841" s="6"/>
      <c r="Z841" s="6"/>
      <c r="AA841" s="6"/>
    </row>
    <row r="842" ht="15.75" customHeight="1">
      <c r="A842" s="59"/>
      <c r="B842" s="59"/>
      <c r="C842" s="59"/>
      <c r="D842" s="59"/>
      <c r="E842" s="59"/>
      <c r="F842" s="59"/>
      <c r="G842" s="59"/>
      <c r="H842" s="59"/>
      <c r="I842" s="59"/>
      <c r="J842" s="59"/>
      <c r="K842" s="59"/>
      <c r="L842" s="59"/>
      <c r="M842" s="59"/>
      <c r="N842" s="59"/>
      <c r="O842" s="7"/>
      <c r="P842" s="6"/>
      <c r="Q842" s="6"/>
      <c r="R842" s="6"/>
      <c r="S842" s="6"/>
      <c r="T842" s="6"/>
      <c r="U842" s="6"/>
      <c r="V842" s="6"/>
      <c r="W842" s="6"/>
      <c r="X842" s="6"/>
      <c r="Y842" s="6"/>
      <c r="Z842" s="6"/>
      <c r="AA842" s="6"/>
    </row>
    <row r="843" ht="15.75" customHeight="1">
      <c r="A843" s="59"/>
      <c r="B843" s="59"/>
      <c r="C843" s="59"/>
      <c r="D843" s="59"/>
      <c r="E843" s="59"/>
      <c r="F843" s="59"/>
      <c r="G843" s="59"/>
      <c r="H843" s="59"/>
      <c r="I843" s="59"/>
      <c r="J843" s="59"/>
      <c r="K843" s="59"/>
      <c r="L843" s="59"/>
      <c r="M843" s="59"/>
      <c r="N843" s="59"/>
      <c r="O843" s="7"/>
      <c r="P843" s="6"/>
      <c r="Q843" s="6"/>
      <c r="R843" s="6"/>
      <c r="S843" s="6"/>
      <c r="T843" s="6"/>
      <c r="U843" s="6"/>
      <c r="V843" s="6"/>
      <c r="W843" s="6"/>
      <c r="X843" s="6"/>
      <c r="Y843" s="6"/>
      <c r="Z843" s="6"/>
      <c r="AA843" s="6"/>
    </row>
    <row r="844" ht="15.75" customHeight="1">
      <c r="A844" s="59"/>
      <c r="B844" s="59"/>
      <c r="C844" s="59"/>
      <c r="D844" s="59"/>
      <c r="E844" s="59"/>
      <c r="F844" s="59"/>
      <c r="G844" s="59"/>
      <c r="H844" s="59"/>
      <c r="I844" s="59"/>
      <c r="J844" s="59"/>
      <c r="K844" s="59"/>
      <c r="L844" s="59"/>
      <c r="M844" s="59"/>
      <c r="N844" s="59"/>
      <c r="O844" s="7"/>
      <c r="P844" s="6"/>
      <c r="Q844" s="6"/>
      <c r="R844" s="6"/>
      <c r="S844" s="6"/>
      <c r="T844" s="6"/>
      <c r="U844" s="6"/>
      <c r="V844" s="6"/>
      <c r="W844" s="6"/>
      <c r="X844" s="6"/>
      <c r="Y844" s="6"/>
      <c r="Z844" s="6"/>
      <c r="AA844" s="6"/>
    </row>
    <row r="845" ht="15.75" customHeight="1">
      <c r="A845" s="59"/>
      <c r="B845" s="59"/>
      <c r="C845" s="59"/>
      <c r="D845" s="59"/>
      <c r="E845" s="59"/>
      <c r="F845" s="59"/>
      <c r="G845" s="59"/>
      <c r="H845" s="59"/>
      <c r="I845" s="59"/>
      <c r="J845" s="59"/>
      <c r="K845" s="59"/>
      <c r="L845" s="59"/>
      <c r="M845" s="59"/>
      <c r="N845" s="59"/>
      <c r="O845" s="7"/>
      <c r="P845" s="6"/>
      <c r="Q845" s="6"/>
      <c r="R845" s="6"/>
      <c r="S845" s="6"/>
      <c r="T845" s="6"/>
      <c r="U845" s="6"/>
      <c r="V845" s="6"/>
      <c r="W845" s="6"/>
      <c r="X845" s="6"/>
      <c r="Y845" s="6"/>
      <c r="Z845" s="6"/>
      <c r="AA845" s="6"/>
    </row>
    <row r="846" ht="15.75" customHeight="1">
      <c r="A846" s="59"/>
      <c r="B846" s="59"/>
      <c r="C846" s="59"/>
      <c r="D846" s="59"/>
      <c r="E846" s="59"/>
      <c r="F846" s="59"/>
      <c r="G846" s="59"/>
      <c r="H846" s="59"/>
      <c r="I846" s="59"/>
      <c r="J846" s="59"/>
      <c r="K846" s="59"/>
      <c r="L846" s="59"/>
      <c r="M846" s="59"/>
      <c r="N846" s="59"/>
      <c r="O846" s="7"/>
      <c r="P846" s="6"/>
      <c r="Q846" s="6"/>
      <c r="R846" s="6"/>
      <c r="S846" s="6"/>
      <c r="T846" s="6"/>
      <c r="U846" s="6"/>
      <c r="V846" s="6"/>
      <c r="W846" s="6"/>
      <c r="X846" s="6"/>
      <c r="Y846" s="6"/>
      <c r="Z846" s="6"/>
      <c r="AA846" s="6"/>
    </row>
    <row r="847" ht="15.75" customHeight="1">
      <c r="A847" s="59"/>
      <c r="B847" s="59"/>
      <c r="C847" s="59"/>
      <c r="D847" s="59"/>
      <c r="E847" s="59"/>
      <c r="F847" s="59"/>
      <c r="G847" s="59"/>
      <c r="H847" s="59"/>
      <c r="I847" s="59"/>
      <c r="J847" s="59"/>
      <c r="K847" s="59"/>
      <c r="L847" s="59"/>
      <c r="M847" s="59"/>
      <c r="N847" s="59"/>
      <c r="O847" s="7"/>
      <c r="P847" s="6"/>
      <c r="Q847" s="6"/>
      <c r="R847" s="6"/>
      <c r="S847" s="6"/>
      <c r="T847" s="6"/>
      <c r="U847" s="6"/>
      <c r="V847" s="6"/>
      <c r="W847" s="6"/>
      <c r="X847" s="6"/>
      <c r="Y847" s="6"/>
      <c r="Z847" s="6"/>
      <c r="AA847" s="6"/>
    </row>
    <row r="848" ht="15.75" customHeight="1">
      <c r="A848" s="59"/>
      <c r="B848" s="59"/>
      <c r="C848" s="59"/>
      <c r="D848" s="59"/>
      <c r="E848" s="59"/>
      <c r="F848" s="59"/>
      <c r="G848" s="59"/>
      <c r="H848" s="59"/>
      <c r="I848" s="59"/>
      <c r="J848" s="59"/>
      <c r="K848" s="59"/>
      <c r="L848" s="59"/>
      <c r="M848" s="59"/>
      <c r="N848" s="59"/>
      <c r="O848" s="7"/>
      <c r="P848" s="6"/>
      <c r="Q848" s="6"/>
      <c r="R848" s="6"/>
      <c r="S848" s="6"/>
      <c r="T848" s="6"/>
      <c r="U848" s="6"/>
      <c r="V848" s="6"/>
      <c r="W848" s="6"/>
      <c r="X848" s="6"/>
      <c r="Y848" s="6"/>
      <c r="Z848" s="6"/>
      <c r="AA848" s="6"/>
    </row>
    <row r="849" ht="15.75" customHeight="1">
      <c r="A849" s="59"/>
      <c r="B849" s="59"/>
      <c r="C849" s="59"/>
      <c r="D849" s="59"/>
      <c r="E849" s="59"/>
      <c r="F849" s="59"/>
      <c r="G849" s="59"/>
      <c r="H849" s="59"/>
      <c r="I849" s="59"/>
      <c r="J849" s="59"/>
      <c r="K849" s="59"/>
      <c r="L849" s="59"/>
      <c r="M849" s="59"/>
      <c r="N849" s="59"/>
      <c r="O849" s="7"/>
      <c r="P849" s="6"/>
      <c r="Q849" s="6"/>
      <c r="R849" s="6"/>
      <c r="S849" s="6"/>
      <c r="T849" s="6"/>
      <c r="U849" s="6"/>
      <c r="V849" s="6"/>
      <c r="W849" s="6"/>
      <c r="X849" s="6"/>
      <c r="Y849" s="6"/>
      <c r="Z849" s="6"/>
      <c r="AA849" s="6"/>
    </row>
    <row r="850" ht="15.75" customHeight="1">
      <c r="A850" s="59"/>
      <c r="B850" s="59"/>
      <c r="C850" s="59"/>
      <c r="D850" s="59"/>
      <c r="E850" s="59"/>
      <c r="F850" s="59"/>
      <c r="G850" s="59"/>
      <c r="H850" s="59"/>
      <c r="I850" s="59"/>
      <c r="J850" s="59"/>
      <c r="K850" s="59"/>
      <c r="L850" s="59"/>
      <c r="M850" s="59"/>
      <c r="N850" s="59"/>
      <c r="O850" s="7"/>
      <c r="P850" s="6"/>
      <c r="Q850" s="6"/>
      <c r="R850" s="6"/>
      <c r="S850" s="6"/>
      <c r="T850" s="6"/>
      <c r="U850" s="6"/>
      <c r="V850" s="6"/>
      <c r="W850" s="6"/>
      <c r="X850" s="6"/>
      <c r="Y850" s="6"/>
      <c r="Z850" s="6"/>
      <c r="AA850" s="6"/>
    </row>
    <row r="851" ht="15.75" customHeight="1">
      <c r="A851" s="59"/>
      <c r="B851" s="59"/>
      <c r="C851" s="59"/>
      <c r="D851" s="59"/>
      <c r="E851" s="59"/>
      <c r="F851" s="59"/>
      <c r="G851" s="59"/>
      <c r="H851" s="59"/>
      <c r="I851" s="59"/>
      <c r="J851" s="59"/>
      <c r="K851" s="59"/>
      <c r="L851" s="59"/>
      <c r="M851" s="59"/>
      <c r="N851" s="59"/>
      <c r="O851" s="7"/>
      <c r="P851" s="6"/>
      <c r="Q851" s="6"/>
      <c r="R851" s="6"/>
      <c r="S851" s="6"/>
      <c r="T851" s="6"/>
      <c r="U851" s="6"/>
      <c r="V851" s="6"/>
      <c r="W851" s="6"/>
      <c r="X851" s="6"/>
      <c r="Y851" s="6"/>
      <c r="Z851" s="6"/>
      <c r="AA851" s="6"/>
    </row>
    <row r="852" ht="15.75" customHeight="1">
      <c r="A852" s="59"/>
      <c r="B852" s="59"/>
      <c r="C852" s="59"/>
      <c r="D852" s="59"/>
      <c r="E852" s="59"/>
      <c r="F852" s="59"/>
      <c r="G852" s="59"/>
      <c r="H852" s="59"/>
      <c r="I852" s="59"/>
      <c r="J852" s="59"/>
      <c r="K852" s="59"/>
      <c r="L852" s="59"/>
      <c r="M852" s="59"/>
      <c r="N852" s="59"/>
      <c r="O852" s="7"/>
      <c r="P852" s="6"/>
      <c r="Q852" s="6"/>
      <c r="R852" s="6"/>
      <c r="S852" s="6"/>
      <c r="T852" s="6"/>
      <c r="U852" s="6"/>
      <c r="V852" s="6"/>
      <c r="W852" s="6"/>
      <c r="X852" s="6"/>
      <c r="Y852" s="6"/>
      <c r="Z852" s="6"/>
      <c r="AA852" s="6"/>
    </row>
    <row r="853" ht="15.75" customHeight="1">
      <c r="A853" s="59"/>
      <c r="B853" s="59"/>
      <c r="C853" s="59"/>
      <c r="D853" s="59"/>
      <c r="E853" s="59"/>
      <c r="F853" s="59"/>
      <c r="G853" s="59"/>
      <c r="H853" s="59"/>
      <c r="I853" s="59"/>
      <c r="J853" s="59"/>
      <c r="K853" s="59"/>
      <c r="L853" s="59"/>
      <c r="M853" s="59"/>
      <c r="N853" s="59"/>
      <c r="O853" s="7"/>
      <c r="P853" s="6"/>
      <c r="Q853" s="6"/>
      <c r="R853" s="6"/>
      <c r="S853" s="6"/>
      <c r="T853" s="6"/>
      <c r="U853" s="6"/>
      <c r="V853" s="6"/>
      <c r="W853" s="6"/>
      <c r="X853" s="6"/>
      <c r="Y853" s="6"/>
      <c r="Z853" s="6"/>
      <c r="AA853" s="6"/>
    </row>
    <row r="854" ht="15.75" customHeight="1">
      <c r="A854" s="59"/>
      <c r="B854" s="59"/>
      <c r="C854" s="59"/>
      <c r="D854" s="59"/>
      <c r="E854" s="59"/>
      <c r="F854" s="59"/>
      <c r="G854" s="59"/>
      <c r="H854" s="59"/>
      <c r="I854" s="59"/>
      <c r="J854" s="59"/>
      <c r="K854" s="59"/>
      <c r="L854" s="59"/>
      <c r="M854" s="59"/>
      <c r="N854" s="59"/>
      <c r="O854" s="7"/>
      <c r="P854" s="6"/>
      <c r="Q854" s="6"/>
      <c r="R854" s="6"/>
      <c r="S854" s="6"/>
      <c r="T854" s="6"/>
      <c r="U854" s="6"/>
      <c r="V854" s="6"/>
      <c r="W854" s="6"/>
      <c r="X854" s="6"/>
      <c r="Y854" s="6"/>
      <c r="Z854" s="6"/>
      <c r="AA854" s="6"/>
    </row>
    <row r="855" ht="15.75" customHeight="1">
      <c r="A855" s="59"/>
      <c r="B855" s="59"/>
      <c r="C855" s="59"/>
      <c r="D855" s="59"/>
      <c r="E855" s="59"/>
      <c r="F855" s="59"/>
      <c r="G855" s="59"/>
      <c r="H855" s="59"/>
      <c r="I855" s="59"/>
      <c r="J855" s="59"/>
      <c r="K855" s="59"/>
      <c r="L855" s="59"/>
      <c r="M855" s="59"/>
      <c r="N855" s="59"/>
      <c r="O855" s="7"/>
      <c r="P855" s="6"/>
      <c r="Q855" s="6"/>
      <c r="R855" s="6"/>
      <c r="S855" s="6"/>
      <c r="T855" s="6"/>
      <c r="U855" s="6"/>
      <c r="V855" s="6"/>
      <c r="W855" s="6"/>
      <c r="X855" s="6"/>
      <c r="Y855" s="6"/>
      <c r="Z855" s="6"/>
      <c r="AA855" s="6"/>
    </row>
    <row r="856" ht="15.75" customHeight="1">
      <c r="A856" s="59"/>
      <c r="B856" s="59"/>
      <c r="C856" s="59"/>
      <c r="D856" s="59"/>
      <c r="E856" s="59"/>
      <c r="F856" s="59"/>
      <c r="G856" s="59"/>
      <c r="H856" s="59"/>
      <c r="I856" s="59"/>
      <c r="J856" s="59"/>
      <c r="K856" s="59"/>
      <c r="L856" s="59"/>
      <c r="M856" s="59"/>
      <c r="N856" s="59"/>
      <c r="O856" s="7"/>
      <c r="P856" s="6"/>
      <c r="Q856" s="6"/>
      <c r="R856" s="6"/>
      <c r="S856" s="6"/>
      <c r="T856" s="6"/>
      <c r="U856" s="6"/>
      <c r="V856" s="6"/>
      <c r="W856" s="6"/>
      <c r="X856" s="6"/>
      <c r="Y856" s="6"/>
      <c r="Z856" s="6"/>
      <c r="AA856" s="6"/>
    </row>
    <row r="857" ht="15.75" customHeight="1">
      <c r="A857" s="59"/>
      <c r="B857" s="59"/>
      <c r="C857" s="59"/>
      <c r="D857" s="59"/>
      <c r="E857" s="59"/>
      <c r="F857" s="59"/>
      <c r="G857" s="59"/>
      <c r="H857" s="59"/>
      <c r="I857" s="59"/>
      <c r="J857" s="59"/>
      <c r="K857" s="59"/>
      <c r="L857" s="59"/>
      <c r="M857" s="59"/>
      <c r="N857" s="59"/>
      <c r="O857" s="7"/>
      <c r="P857" s="6"/>
      <c r="Q857" s="6"/>
      <c r="R857" s="6"/>
      <c r="S857" s="6"/>
      <c r="T857" s="6"/>
      <c r="U857" s="6"/>
      <c r="V857" s="6"/>
      <c r="W857" s="6"/>
      <c r="X857" s="6"/>
      <c r="Y857" s="6"/>
      <c r="Z857" s="6"/>
      <c r="AA857" s="6"/>
    </row>
    <row r="858" ht="15.75" customHeight="1">
      <c r="A858" s="59"/>
      <c r="B858" s="59"/>
      <c r="C858" s="59"/>
      <c r="D858" s="59"/>
      <c r="E858" s="59"/>
      <c r="F858" s="59"/>
      <c r="G858" s="59"/>
      <c r="H858" s="59"/>
      <c r="I858" s="59"/>
      <c r="J858" s="59"/>
      <c r="K858" s="59"/>
      <c r="L858" s="59"/>
      <c r="M858" s="59"/>
      <c r="N858" s="59"/>
      <c r="O858" s="7"/>
      <c r="P858" s="6"/>
      <c r="Q858" s="6"/>
      <c r="R858" s="6"/>
      <c r="S858" s="6"/>
      <c r="T858" s="6"/>
      <c r="U858" s="6"/>
      <c r="V858" s="6"/>
      <c r="W858" s="6"/>
      <c r="X858" s="6"/>
      <c r="Y858" s="6"/>
      <c r="Z858" s="6"/>
      <c r="AA858" s="6"/>
    </row>
    <row r="859" ht="15.75" customHeight="1">
      <c r="A859" s="59"/>
      <c r="B859" s="59"/>
      <c r="C859" s="59"/>
      <c r="D859" s="59"/>
      <c r="E859" s="59"/>
      <c r="F859" s="59"/>
      <c r="G859" s="59"/>
      <c r="H859" s="59"/>
      <c r="I859" s="59"/>
      <c r="J859" s="59"/>
      <c r="K859" s="59"/>
      <c r="L859" s="59"/>
      <c r="M859" s="59"/>
      <c r="N859" s="59"/>
      <c r="O859" s="7"/>
      <c r="P859" s="6"/>
      <c r="Q859" s="6"/>
      <c r="R859" s="6"/>
      <c r="S859" s="6"/>
      <c r="T859" s="6"/>
      <c r="U859" s="6"/>
      <c r="V859" s="6"/>
      <c r="W859" s="6"/>
      <c r="X859" s="6"/>
      <c r="Y859" s="6"/>
      <c r="Z859" s="6"/>
      <c r="AA859" s="6"/>
    </row>
    <row r="860" ht="15.75" customHeight="1">
      <c r="A860" s="59"/>
      <c r="B860" s="59"/>
      <c r="C860" s="59"/>
      <c r="D860" s="59"/>
      <c r="E860" s="59"/>
      <c r="F860" s="59"/>
      <c r="G860" s="59"/>
      <c r="H860" s="59"/>
      <c r="I860" s="59"/>
      <c r="J860" s="59"/>
      <c r="K860" s="59"/>
      <c r="L860" s="59"/>
      <c r="M860" s="59"/>
      <c r="N860" s="59"/>
      <c r="O860" s="7"/>
      <c r="P860" s="6"/>
      <c r="Q860" s="6"/>
      <c r="R860" s="6"/>
      <c r="S860" s="6"/>
      <c r="T860" s="6"/>
      <c r="U860" s="6"/>
      <c r="V860" s="6"/>
      <c r="W860" s="6"/>
      <c r="X860" s="6"/>
      <c r="Y860" s="6"/>
      <c r="Z860" s="6"/>
      <c r="AA860" s="6"/>
    </row>
    <row r="861" ht="15.75" customHeight="1">
      <c r="A861" s="59"/>
      <c r="B861" s="59"/>
      <c r="C861" s="59"/>
      <c r="D861" s="59"/>
      <c r="E861" s="59"/>
      <c r="F861" s="59"/>
      <c r="G861" s="59"/>
      <c r="H861" s="59"/>
      <c r="I861" s="59"/>
      <c r="J861" s="59"/>
      <c r="K861" s="59"/>
      <c r="L861" s="59"/>
      <c r="M861" s="59"/>
      <c r="N861" s="59"/>
      <c r="O861" s="7"/>
      <c r="P861" s="6"/>
      <c r="Q861" s="6"/>
      <c r="R861" s="6"/>
      <c r="S861" s="6"/>
      <c r="T861" s="6"/>
      <c r="U861" s="6"/>
      <c r="V861" s="6"/>
      <c r="W861" s="6"/>
      <c r="X861" s="6"/>
      <c r="Y861" s="6"/>
      <c r="Z861" s="6"/>
      <c r="AA861" s="6"/>
    </row>
    <row r="862" ht="15.75" customHeight="1">
      <c r="A862" s="59"/>
      <c r="B862" s="59"/>
      <c r="C862" s="59"/>
      <c r="D862" s="59"/>
      <c r="E862" s="59"/>
      <c r="F862" s="59"/>
      <c r="G862" s="59"/>
      <c r="H862" s="59"/>
      <c r="I862" s="59"/>
      <c r="J862" s="59"/>
      <c r="K862" s="59"/>
      <c r="L862" s="59"/>
      <c r="M862" s="59"/>
      <c r="N862" s="59"/>
      <c r="O862" s="7"/>
      <c r="P862" s="6"/>
      <c r="Q862" s="6"/>
      <c r="R862" s="6"/>
      <c r="S862" s="6"/>
      <c r="T862" s="6"/>
      <c r="U862" s="6"/>
      <c r="V862" s="6"/>
      <c r="W862" s="6"/>
      <c r="X862" s="6"/>
      <c r="Y862" s="6"/>
      <c r="Z862" s="6"/>
      <c r="AA862" s="6"/>
    </row>
    <row r="863" ht="15.75" customHeight="1">
      <c r="A863" s="59"/>
      <c r="B863" s="59"/>
      <c r="C863" s="59"/>
      <c r="D863" s="59"/>
      <c r="E863" s="59"/>
      <c r="F863" s="59"/>
      <c r="G863" s="59"/>
      <c r="H863" s="59"/>
      <c r="I863" s="59"/>
      <c r="J863" s="59"/>
      <c r="K863" s="59"/>
      <c r="L863" s="59"/>
      <c r="M863" s="59"/>
      <c r="N863" s="59"/>
      <c r="O863" s="7"/>
      <c r="P863" s="6"/>
      <c r="Q863" s="6"/>
      <c r="R863" s="6"/>
      <c r="S863" s="6"/>
      <c r="T863" s="6"/>
      <c r="U863" s="6"/>
      <c r="V863" s="6"/>
      <c r="W863" s="6"/>
      <c r="X863" s="6"/>
      <c r="Y863" s="6"/>
      <c r="Z863" s="6"/>
      <c r="AA863" s="6"/>
    </row>
    <row r="864" ht="15.75" customHeight="1">
      <c r="A864" s="59"/>
      <c r="B864" s="59"/>
      <c r="C864" s="59"/>
      <c r="D864" s="59"/>
      <c r="E864" s="59"/>
      <c r="F864" s="59"/>
      <c r="G864" s="59"/>
      <c r="H864" s="59"/>
      <c r="I864" s="59"/>
      <c r="J864" s="59"/>
      <c r="K864" s="59"/>
      <c r="L864" s="59"/>
      <c r="M864" s="59"/>
      <c r="N864" s="59"/>
      <c r="O864" s="7"/>
      <c r="P864" s="6"/>
      <c r="Q864" s="6"/>
      <c r="R864" s="6"/>
      <c r="S864" s="6"/>
      <c r="T864" s="6"/>
      <c r="U864" s="6"/>
      <c r="V864" s="6"/>
      <c r="W864" s="6"/>
      <c r="X864" s="6"/>
      <c r="Y864" s="6"/>
      <c r="Z864" s="6"/>
      <c r="AA864" s="6"/>
    </row>
    <row r="865" ht="15.75" customHeight="1">
      <c r="A865" s="59"/>
      <c r="B865" s="59"/>
      <c r="C865" s="59"/>
      <c r="D865" s="59"/>
      <c r="E865" s="59"/>
      <c r="F865" s="59"/>
      <c r="G865" s="59"/>
      <c r="H865" s="59"/>
      <c r="I865" s="59"/>
      <c r="J865" s="59"/>
      <c r="K865" s="59"/>
      <c r="L865" s="59"/>
      <c r="M865" s="59"/>
      <c r="N865" s="59"/>
      <c r="O865" s="7"/>
      <c r="P865" s="6"/>
      <c r="Q865" s="6"/>
      <c r="R865" s="6"/>
      <c r="S865" s="6"/>
      <c r="T865" s="6"/>
      <c r="U865" s="6"/>
      <c r="V865" s="6"/>
      <c r="W865" s="6"/>
      <c r="X865" s="6"/>
      <c r="Y865" s="6"/>
      <c r="Z865" s="6"/>
      <c r="AA865" s="6"/>
    </row>
    <row r="866" ht="15.75" customHeight="1">
      <c r="A866" s="59"/>
      <c r="B866" s="59"/>
      <c r="C866" s="59"/>
      <c r="D866" s="59"/>
      <c r="E866" s="59"/>
      <c r="F866" s="59"/>
      <c r="G866" s="59"/>
      <c r="H866" s="59"/>
      <c r="I866" s="59"/>
      <c r="J866" s="59"/>
      <c r="K866" s="59"/>
      <c r="L866" s="59"/>
      <c r="M866" s="59"/>
      <c r="N866" s="59"/>
      <c r="O866" s="7"/>
      <c r="P866" s="6"/>
      <c r="Q866" s="6"/>
      <c r="R866" s="6"/>
      <c r="S866" s="6"/>
      <c r="T866" s="6"/>
      <c r="U866" s="6"/>
      <c r="V866" s="6"/>
      <c r="W866" s="6"/>
      <c r="X866" s="6"/>
      <c r="Y866" s="6"/>
      <c r="Z866" s="6"/>
      <c r="AA866" s="6"/>
    </row>
    <row r="867" ht="15.75" customHeight="1">
      <c r="A867" s="59"/>
      <c r="B867" s="59"/>
      <c r="C867" s="59"/>
      <c r="D867" s="59"/>
      <c r="E867" s="59"/>
      <c r="F867" s="59"/>
      <c r="G867" s="59"/>
      <c r="H867" s="59"/>
      <c r="I867" s="59"/>
      <c r="J867" s="59"/>
      <c r="K867" s="59"/>
      <c r="L867" s="59"/>
      <c r="M867" s="59"/>
      <c r="N867" s="59"/>
      <c r="O867" s="7"/>
      <c r="P867" s="6"/>
      <c r="Q867" s="6"/>
      <c r="R867" s="6"/>
      <c r="S867" s="6"/>
      <c r="T867" s="6"/>
      <c r="U867" s="6"/>
      <c r="V867" s="6"/>
      <c r="W867" s="6"/>
      <c r="X867" s="6"/>
      <c r="Y867" s="6"/>
      <c r="Z867" s="6"/>
      <c r="AA867" s="6"/>
    </row>
    <row r="868" ht="15.75" customHeight="1">
      <c r="A868" s="59"/>
      <c r="B868" s="59"/>
      <c r="C868" s="59"/>
      <c r="D868" s="59"/>
      <c r="E868" s="59"/>
      <c r="F868" s="59"/>
      <c r="G868" s="59"/>
      <c r="H868" s="59"/>
      <c r="I868" s="59"/>
      <c r="J868" s="59"/>
      <c r="K868" s="59"/>
      <c r="L868" s="59"/>
      <c r="M868" s="59"/>
      <c r="N868" s="59"/>
      <c r="O868" s="7"/>
      <c r="P868" s="6"/>
      <c r="Q868" s="6"/>
      <c r="R868" s="6"/>
      <c r="S868" s="6"/>
      <c r="T868" s="6"/>
      <c r="U868" s="6"/>
      <c r="V868" s="6"/>
      <c r="W868" s="6"/>
      <c r="X868" s="6"/>
      <c r="Y868" s="6"/>
      <c r="Z868" s="6"/>
      <c r="AA868" s="6"/>
    </row>
    <row r="869" ht="15.75" customHeight="1">
      <c r="A869" s="59"/>
      <c r="B869" s="59"/>
      <c r="C869" s="59"/>
      <c r="D869" s="59"/>
      <c r="E869" s="59"/>
      <c r="F869" s="59"/>
      <c r="G869" s="59"/>
      <c r="H869" s="59"/>
      <c r="I869" s="59"/>
      <c r="J869" s="59"/>
      <c r="K869" s="59"/>
      <c r="L869" s="59"/>
      <c r="M869" s="59"/>
      <c r="N869" s="59"/>
      <c r="O869" s="7"/>
      <c r="P869" s="6"/>
      <c r="Q869" s="6"/>
      <c r="R869" s="6"/>
      <c r="S869" s="6"/>
      <c r="T869" s="6"/>
      <c r="U869" s="6"/>
      <c r="V869" s="6"/>
      <c r="W869" s="6"/>
      <c r="X869" s="6"/>
      <c r="Y869" s="6"/>
      <c r="Z869" s="6"/>
      <c r="AA869" s="6"/>
    </row>
    <row r="870" ht="15.75" customHeight="1">
      <c r="A870" s="59"/>
      <c r="B870" s="59"/>
      <c r="C870" s="59"/>
      <c r="D870" s="59"/>
      <c r="E870" s="59"/>
      <c r="F870" s="59"/>
      <c r="G870" s="59"/>
      <c r="H870" s="59"/>
      <c r="I870" s="59"/>
      <c r="J870" s="59"/>
      <c r="K870" s="59"/>
      <c r="L870" s="59"/>
      <c r="M870" s="59"/>
      <c r="N870" s="59"/>
      <c r="O870" s="7"/>
      <c r="P870" s="6"/>
      <c r="Q870" s="6"/>
      <c r="R870" s="6"/>
      <c r="S870" s="6"/>
      <c r="T870" s="6"/>
      <c r="U870" s="6"/>
      <c r="V870" s="6"/>
      <c r="W870" s="6"/>
      <c r="X870" s="6"/>
      <c r="Y870" s="6"/>
      <c r="Z870" s="6"/>
      <c r="AA870" s="6"/>
    </row>
    <row r="871" ht="15.75" customHeight="1">
      <c r="A871" s="59"/>
      <c r="B871" s="59"/>
      <c r="C871" s="59"/>
      <c r="D871" s="59"/>
      <c r="E871" s="59"/>
      <c r="F871" s="59"/>
      <c r="G871" s="59"/>
      <c r="H871" s="59"/>
      <c r="I871" s="59"/>
      <c r="J871" s="59"/>
      <c r="K871" s="59"/>
      <c r="L871" s="59"/>
      <c r="M871" s="59"/>
      <c r="N871" s="59"/>
      <c r="O871" s="7"/>
      <c r="P871" s="6"/>
      <c r="Q871" s="6"/>
      <c r="R871" s="6"/>
      <c r="S871" s="6"/>
      <c r="T871" s="6"/>
      <c r="U871" s="6"/>
      <c r="V871" s="6"/>
      <c r="W871" s="6"/>
      <c r="X871" s="6"/>
      <c r="Y871" s="6"/>
      <c r="Z871" s="6"/>
      <c r="AA871" s="6"/>
    </row>
    <row r="872" ht="15.75" customHeight="1">
      <c r="A872" s="59"/>
      <c r="B872" s="59"/>
      <c r="C872" s="59"/>
      <c r="D872" s="59"/>
      <c r="E872" s="59"/>
      <c r="F872" s="59"/>
      <c r="G872" s="59"/>
      <c r="H872" s="59"/>
      <c r="I872" s="59"/>
      <c r="J872" s="59"/>
      <c r="K872" s="59"/>
      <c r="L872" s="59"/>
      <c r="M872" s="59"/>
      <c r="N872" s="59"/>
      <c r="O872" s="7"/>
      <c r="P872" s="6"/>
      <c r="Q872" s="6"/>
      <c r="R872" s="6"/>
      <c r="S872" s="6"/>
      <c r="T872" s="6"/>
      <c r="U872" s="6"/>
      <c r="V872" s="6"/>
      <c r="W872" s="6"/>
      <c r="X872" s="6"/>
      <c r="Y872" s="6"/>
      <c r="Z872" s="6"/>
      <c r="AA872" s="6"/>
    </row>
    <row r="873" ht="15.75" customHeight="1">
      <c r="A873" s="59"/>
      <c r="B873" s="59"/>
      <c r="C873" s="59"/>
      <c r="D873" s="59"/>
      <c r="E873" s="59"/>
      <c r="F873" s="59"/>
      <c r="G873" s="59"/>
      <c r="H873" s="59"/>
      <c r="I873" s="59"/>
      <c r="J873" s="59"/>
      <c r="K873" s="59"/>
      <c r="L873" s="59"/>
      <c r="M873" s="59"/>
      <c r="N873" s="59"/>
      <c r="O873" s="7"/>
      <c r="P873" s="6"/>
      <c r="Q873" s="6"/>
      <c r="R873" s="6"/>
      <c r="S873" s="6"/>
      <c r="T873" s="6"/>
      <c r="U873" s="6"/>
      <c r="V873" s="6"/>
      <c r="W873" s="6"/>
      <c r="X873" s="6"/>
      <c r="Y873" s="6"/>
      <c r="Z873" s="6"/>
      <c r="AA873" s="6"/>
    </row>
    <row r="874" ht="15.75" customHeight="1">
      <c r="A874" s="59"/>
      <c r="B874" s="59"/>
      <c r="C874" s="59"/>
      <c r="D874" s="59"/>
      <c r="E874" s="59"/>
      <c r="F874" s="59"/>
      <c r="G874" s="59"/>
      <c r="H874" s="59"/>
      <c r="I874" s="59"/>
      <c r="J874" s="59"/>
      <c r="K874" s="59"/>
      <c r="L874" s="59"/>
      <c r="M874" s="59"/>
      <c r="N874" s="59"/>
      <c r="O874" s="7"/>
      <c r="P874" s="6"/>
      <c r="Q874" s="6"/>
      <c r="R874" s="6"/>
      <c r="S874" s="6"/>
      <c r="T874" s="6"/>
      <c r="U874" s="6"/>
      <c r="V874" s="6"/>
      <c r="W874" s="6"/>
      <c r="X874" s="6"/>
      <c r="Y874" s="6"/>
      <c r="Z874" s="6"/>
      <c r="AA874" s="6"/>
    </row>
    <row r="875" ht="15.75" customHeight="1">
      <c r="A875" s="59"/>
      <c r="B875" s="59"/>
      <c r="C875" s="59"/>
      <c r="D875" s="59"/>
      <c r="E875" s="59"/>
      <c r="F875" s="59"/>
      <c r="G875" s="59"/>
      <c r="H875" s="59"/>
      <c r="I875" s="59"/>
      <c r="J875" s="59"/>
      <c r="K875" s="59"/>
      <c r="L875" s="59"/>
      <c r="M875" s="59"/>
      <c r="N875" s="59"/>
      <c r="O875" s="7"/>
      <c r="P875" s="6"/>
      <c r="Q875" s="6"/>
      <c r="R875" s="6"/>
      <c r="S875" s="6"/>
      <c r="T875" s="6"/>
      <c r="U875" s="6"/>
      <c r="V875" s="6"/>
      <c r="W875" s="6"/>
      <c r="X875" s="6"/>
      <c r="Y875" s="6"/>
      <c r="Z875" s="6"/>
      <c r="AA875" s="6"/>
    </row>
    <row r="876" ht="15.75" customHeight="1">
      <c r="A876" s="59"/>
      <c r="B876" s="59"/>
      <c r="C876" s="59"/>
      <c r="D876" s="59"/>
      <c r="E876" s="59"/>
      <c r="F876" s="59"/>
      <c r="G876" s="59"/>
      <c r="H876" s="59"/>
      <c r="I876" s="59"/>
      <c r="J876" s="59"/>
      <c r="K876" s="59"/>
      <c r="L876" s="59"/>
      <c r="M876" s="59"/>
      <c r="N876" s="59"/>
      <c r="O876" s="7"/>
      <c r="P876" s="6"/>
      <c r="Q876" s="6"/>
      <c r="R876" s="6"/>
      <c r="S876" s="6"/>
      <c r="T876" s="6"/>
      <c r="U876" s="6"/>
      <c r="V876" s="6"/>
      <c r="W876" s="6"/>
      <c r="X876" s="6"/>
      <c r="Y876" s="6"/>
      <c r="Z876" s="6"/>
      <c r="AA876" s="6"/>
    </row>
    <row r="877" ht="15.75" customHeight="1">
      <c r="A877" s="59"/>
      <c r="B877" s="59"/>
      <c r="C877" s="59"/>
      <c r="D877" s="59"/>
      <c r="E877" s="59"/>
      <c r="F877" s="59"/>
      <c r="G877" s="59"/>
      <c r="H877" s="59"/>
      <c r="I877" s="59"/>
      <c r="J877" s="59"/>
      <c r="K877" s="59"/>
      <c r="L877" s="59"/>
      <c r="M877" s="59"/>
      <c r="N877" s="59"/>
      <c r="O877" s="7"/>
      <c r="P877" s="6"/>
      <c r="Q877" s="6"/>
      <c r="R877" s="6"/>
      <c r="S877" s="6"/>
      <c r="T877" s="6"/>
      <c r="U877" s="6"/>
      <c r="V877" s="6"/>
      <c r="W877" s="6"/>
      <c r="X877" s="6"/>
      <c r="Y877" s="6"/>
      <c r="Z877" s="6"/>
      <c r="AA877" s="6"/>
    </row>
    <row r="878" ht="15.75" customHeight="1">
      <c r="A878" s="59"/>
      <c r="B878" s="59"/>
      <c r="C878" s="59"/>
      <c r="D878" s="59"/>
      <c r="E878" s="59"/>
      <c r="F878" s="59"/>
      <c r="G878" s="59"/>
      <c r="H878" s="59"/>
      <c r="I878" s="59"/>
      <c r="J878" s="59"/>
      <c r="K878" s="59"/>
      <c r="L878" s="59"/>
      <c r="M878" s="59"/>
      <c r="N878" s="59"/>
      <c r="O878" s="7"/>
      <c r="P878" s="6"/>
      <c r="Q878" s="6"/>
      <c r="R878" s="6"/>
      <c r="S878" s="6"/>
      <c r="T878" s="6"/>
      <c r="U878" s="6"/>
      <c r="V878" s="6"/>
      <c r="W878" s="6"/>
      <c r="X878" s="6"/>
      <c r="Y878" s="6"/>
      <c r="Z878" s="6"/>
      <c r="AA878" s="6"/>
    </row>
    <row r="879" ht="15.75" customHeight="1">
      <c r="A879" s="59"/>
      <c r="B879" s="59"/>
      <c r="C879" s="59"/>
      <c r="D879" s="59"/>
      <c r="E879" s="59"/>
      <c r="F879" s="59"/>
      <c r="G879" s="59"/>
      <c r="H879" s="59"/>
      <c r="I879" s="59"/>
      <c r="J879" s="59"/>
      <c r="K879" s="59"/>
      <c r="L879" s="59"/>
      <c r="M879" s="59"/>
      <c r="N879" s="59"/>
      <c r="O879" s="7"/>
      <c r="P879" s="6"/>
      <c r="Q879" s="6"/>
      <c r="R879" s="6"/>
      <c r="S879" s="6"/>
      <c r="T879" s="6"/>
      <c r="U879" s="6"/>
      <c r="V879" s="6"/>
      <c r="W879" s="6"/>
      <c r="X879" s="6"/>
      <c r="Y879" s="6"/>
      <c r="Z879" s="6"/>
      <c r="AA879" s="6"/>
    </row>
    <row r="880" ht="15.75" customHeight="1">
      <c r="A880" s="59"/>
      <c r="B880" s="59"/>
      <c r="C880" s="59"/>
      <c r="D880" s="59"/>
      <c r="E880" s="59"/>
      <c r="F880" s="59"/>
      <c r="G880" s="59"/>
      <c r="H880" s="59"/>
      <c r="I880" s="59"/>
      <c r="J880" s="59"/>
      <c r="K880" s="59"/>
      <c r="L880" s="59"/>
      <c r="M880" s="59"/>
      <c r="N880" s="59"/>
      <c r="O880" s="7"/>
      <c r="P880" s="6"/>
      <c r="Q880" s="6"/>
      <c r="R880" s="6"/>
      <c r="S880" s="6"/>
      <c r="T880" s="6"/>
      <c r="U880" s="6"/>
      <c r="V880" s="6"/>
      <c r="W880" s="6"/>
      <c r="X880" s="6"/>
      <c r="Y880" s="6"/>
      <c r="Z880" s="6"/>
      <c r="AA880" s="6"/>
    </row>
    <row r="881" ht="15.75" customHeight="1">
      <c r="A881" s="59"/>
      <c r="B881" s="59"/>
      <c r="C881" s="59"/>
      <c r="D881" s="59"/>
      <c r="E881" s="59"/>
      <c r="F881" s="59"/>
      <c r="G881" s="59"/>
      <c r="H881" s="59"/>
      <c r="I881" s="59"/>
      <c r="J881" s="59"/>
      <c r="K881" s="59"/>
      <c r="L881" s="59"/>
      <c r="M881" s="59"/>
      <c r="N881" s="59"/>
      <c r="O881" s="7"/>
      <c r="P881" s="6"/>
      <c r="Q881" s="6"/>
      <c r="R881" s="6"/>
      <c r="S881" s="6"/>
      <c r="T881" s="6"/>
      <c r="U881" s="6"/>
      <c r="V881" s="6"/>
      <c r="W881" s="6"/>
      <c r="X881" s="6"/>
      <c r="Y881" s="6"/>
      <c r="Z881" s="6"/>
      <c r="AA881" s="6"/>
    </row>
    <row r="882" ht="15.75" customHeight="1">
      <c r="A882" s="59"/>
      <c r="B882" s="59"/>
      <c r="C882" s="59"/>
      <c r="D882" s="59"/>
      <c r="E882" s="59"/>
      <c r="F882" s="59"/>
      <c r="G882" s="59"/>
      <c r="H882" s="59"/>
      <c r="I882" s="59"/>
      <c r="J882" s="59"/>
      <c r="K882" s="59"/>
      <c r="L882" s="59"/>
      <c r="M882" s="59"/>
      <c r="N882" s="59"/>
      <c r="O882" s="7"/>
      <c r="P882" s="6"/>
      <c r="Q882" s="6"/>
      <c r="R882" s="6"/>
      <c r="S882" s="6"/>
      <c r="T882" s="6"/>
      <c r="U882" s="6"/>
      <c r="V882" s="6"/>
      <c r="W882" s="6"/>
      <c r="X882" s="6"/>
      <c r="Y882" s="6"/>
      <c r="Z882" s="6"/>
      <c r="AA882" s="6"/>
    </row>
    <row r="883" ht="15.75" customHeight="1">
      <c r="A883" s="59"/>
      <c r="B883" s="59"/>
      <c r="C883" s="59"/>
      <c r="D883" s="59"/>
      <c r="E883" s="59"/>
      <c r="F883" s="59"/>
      <c r="G883" s="59"/>
      <c r="H883" s="59"/>
      <c r="I883" s="59"/>
      <c r="J883" s="59"/>
      <c r="K883" s="59"/>
      <c r="L883" s="59"/>
      <c r="M883" s="59"/>
      <c r="N883" s="59"/>
      <c r="O883" s="7"/>
      <c r="P883" s="6"/>
      <c r="Q883" s="6"/>
      <c r="R883" s="6"/>
      <c r="S883" s="6"/>
      <c r="T883" s="6"/>
      <c r="U883" s="6"/>
      <c r="V883" s="6"/>
      <c r="W883" s="6"/>
      <c r="X883" s="6"/>
      <c r="Y883" s="6"/>
      <c r="Z883" s="6"/>
      <c r="AA883" s="6"/>
    </row>
    <row r="884" ht="15.75" customHeight="1">
      <c r="A884" s="59"/>
      <c r="B884" s="59"/>
      <c r="C884" s="59"/>
      <c r="D884" s="59"/>
      <c r="E884" s="59"/>
      <c r="F884" s="59"/>
      <c r="G884" s="59"/>
      <c r="H884" s="59"/>
      <c r="I884" s="59"/>
      <c r="J884" s="59"/>
      <c r="K884" s="59"/>
      <c r="L884" s="59"/>
      <c r="M884" s="59"/>
      <c r="N884" s="59"/>
      <c r="O884" s="7"/>
      <c r="P884" s="6"/>
      <c r="Q884" s="6"/>
      <c r="R884" s="6"/>
      <c r="S884" s="6"/>
      <c r="T884" s="6"/>
      <c r="U884" s="6"/>
      <c r="V884" s="6"/>
      <c r="W884" s="6"/>
      <c r="X884" s="6"/>
      <c r="Y884" s="6"/>
      <c r="Z884" s="6"/>
      <c r="AA884" s="6"/>
    </row>
    <row r="885" ht="15.75" customHeight="1">
      <c r="A885" s="59"/>
      <c r="B885" s="59"/>
      <c r="C885" s="59"/>
      <c r="D885" s="59"/>
      <c r="E885" s="59"/>
      <c r="F885" s="59"/>
      <c r="G885" s="59"/>
      <c r="H885" s="59"/>
      <c r="I885" s="59"/>
      <c r="J885" s="59"/>
      <c r="K885" s="59"/>
      <c r="L885" s="59"/>
      <c r="M885" s="59"/>
      <c r="N885" s="59"/>
      <c r="O885" s="7"/>
      <c r="P885" s="6"/>
      <c r="Q885" s="6"/>
      <c r="R885" s="6"/>
      <c r="S885" s="6"/>
      <c r="T885" s="6"/>
      <c r="U885" s="6"/>
      <c r="V885" s="6"/>
      <c r="W885" s="6"/>
      <c r="X885" s="6"/>
      <c r="Y885" s="6"/>
      <c r="Z885" s="6"/>
      <c r="AA885" s="6"/>
    </row>
    <row r="886" ht="15.75" customHeight="1">
      <c r="A886" s="59"/>
      <c r="B886" s="59"/>
      <c r="C886" s="59"/>
      <c r="D886" s="59"/>
      <c r="E886" s="59"/>
      <c r="F886" s="59"/>
      <c r="G886" s="59"/>
      <c r="H886" s="59"/>
      <c r="I886" s="59"/>
      <c r="J886" s="59"/>
      <c r="K886" s="59"/>
      <c r="L886" s="59"/>
      <c r="M886" s="59"/>
      <c r="N886" s="59"/>
      <c r="O886" s="7"/>
      <c r="P886" s="6"/>
      <c r="Q886" s="6"/>
      <c r="R886" s="6"/>
      <c r="S886" s="6"/>
      <c r="T886" s="6"/>
      <c r="U886" s="6"/>
      <c r="V886" s="6"/>
      <c r="W886" s="6"/>
      <c r="X886" s="6"/>
      <c r="Y886" s="6"/>
      <c r="Z886" s="6"/>
      <c r="AA886" s="6"/>
    </row>
    <row r="887" ht="15.75" customHeight="1">
      <c r="A887" s="59"/>
      <c r="B887" s="59"/>
      <c r="C887" s="59"/>
      <c r="D887" s="59"/>
      <c r="E887" s="59"/>
      <c r="F887" s="59"/>
      <c r="G887" s="59"/>
      <c r="H887" s="59"/>
      <c r="I887" s="59"/>
      <c r="J887" s="59"/>
      <c r="K887" s="59"/>
      <c r="L887" s="59"/>
      <c r="M887" s="59"/>
      <c r="N887" s="59"/>
      <c r="O887" s="7"/>
      <c r="P887" s="6"/>
      <c r="Q887" s="6"/>
      <c r="R887" s="6"/>
      <c r="S887" s="6"/>
      <c r="T887" s="6"/>
      <c r="U887" s="6"/>
      <c r="V887" s="6"/>
      <c r="W887" s="6"/>
      <c r="X887" s="6"/>
      <c r="Y887" s="6"/>
      <c r="Z887" s="6"/>
      <c r="AA887" s="6"/>
    </row>
    <row r="888" ht="15.75" customHeight="1">
      <c r="A888" s="59"/>
      <c r="B888" s="59"/>
      <c r="C888" s="59"/>
      <c r="D888" s="59"/>
      <c r="E888" s="59"/>
      <c r="F888" s="59"/>
      <c r="G888" s="59"/>
      <c r="H888" s="59"/>
      <c r="I888" s="59"/>
      <c r="J888" s="59"/>
      <c r="K888" s="59"/>
      <c r="L888" s="59"/>
      <c r="M888" s="59"/>
      <c r="N888" s="59"/>
      <c r="O888" s="7"/>
      <c r="P888" s="6"/>
      <c r="Q888" s="6"/>
      <c r="R888" s="6"/>
      <c r="S888" s="6"/>
      <c r="T888" s="6"/>
      <c r="U888" s="6"/>
      <c r="V888" s="6"/>
      <c r="W888" s="6"/>
      <c r="X888" s="6"/>
      <c r="Y888" s="6"/>
      <c r="Z888" s="6"/>
      <c r="AA888" s="6"/>
    </row>
    <row r="889" ht="15.75" customHeight="1">
      <c r="A889" s="59"/>
      <c r="B889" s="59"/>
      <c r="C889" s="59"/>
      <c r="D889" s="59"/>
      <c r="E889" s="59"/>
      <c r="F889" s="59"/>
      <c r="G889" s="59"/>
      <c r="H889" s="59"/>
      <c r="I889" s="59"/>
      <c r="J889" s="59"/>
      <c r="K889" s="59"/>
      <c r="L889" s="59"/>
      <c r="M889" s="59"/>
      <c r="N889" s="59"/>
      <c r="O889" s="7"/>
      <c r="P889" s="6"/>
      <c r="Q889" s="6"/>
      <c r="R889" s="6"/>
      <c r="S889" s="6"/>
      <c r="T889" s="6"/>
      <c r="U889" s="6"/>
      <c r="V889" s="6"/>
      <c r="W889" s="6"/>
      <c r="X889" s="6"/>
      <c r="Y889" s="6"/>
      <c r="Z889" s="6"/>
      <c r="AA889" s="6"/>
    </row>
    <row r="890" ht="15.75" customHeight="1">
      <c r="A890" s="59"/>
      <c r="B890" s="59"/>
      <c r="C890" s="59"/>
      <c r="D890" s="59"/>
      <c r="E890" s="59"/>
      <c r="F890" s="59"/>
      <c r="G890" s="59"/>
      <c r="H890" s="59"/>
      <c r="I890" s="59"/>
      <c r="J890" s="59"/>
      <c r="K890" s="59"/>
      <c r="L890" s="59"/>
      <c r="M890" s="59"/>
      <c r="N890" s="59"/>
      <c r="O890" s="7"/>
      <c r="P890" s="6"/>
      <c r="Q890" s="6"/>
      <c r="R890" s="6"/>
      <c r="S890" s="6"/>
      <c r="T890" s="6"/>
      <c r="U890" s="6"/>
      <c r="V890" s="6"/>
      <c r="W890" s="6"/>
      <c r="X890" s="6"/>
      <c r="Y890" s="6"/>
      <c r="Z890" s="6"/>
      <c r="AA890" s="6"/>
    </row>
    <row r="891" ht="15.75" customHeight="1">
      <c r="A891" s="59"/>
      <c r="B891" s="59"/>
      <c r="C891" s="59"/>
      <c r="D891" s="59"/>
      <c r="E891" s="59"/>
      <c r="F891" s="59"/>
      <c r="G891" s="59"/>
      <c r="H891" s="59"/>
      <c r="I891" s="59"/>
      <c r="J891" s="59"/>
      <c r="K891" s="59"/>
      <c r="L891" s="59"/>
      <c r="M891" s="59"/>
      <c r="N891" s="59"/>
      <c r="O891" s="7"/>
      <c r="P891" s="6"/>
      <c r="Q891" s="6"/>
      <c r="R891" s="6"/>
      <c r="S891" s="6"/>
      <c r="T891" s="6"/>
      <c r="U891" s="6"/>
      <c r="V891" s="6"/>
      <c r="W891" s="6"/>
      <c r="X891" s="6"/>
      <c r="Y891" s="6"/>
      <c r="Z891" s="6"/>
      <c r="AA891" s="6"/>
    </row>
    <row r="892" ht="15.75" customHeight="1">
      <c r="A892" s="59"/>
      <c r="B892" s="59"/>
      <c r="C892" s="59"/>
      <c r="D892" s="59"/>
      <c r="E892" s="59"/>
      <c r="F892" s="59"/>
      <c r="G892" s="59"/>
      <c r="H892" s="59"/>
      <c r="I892" s="59"/>
      <c r="J892" s="59"/>
      <c r="K892" s="59"/>
      <c r="L892" s="59"/>
      <c r="M892" s="59"/>
      <c r="N892" s="59"/>
      <c r="O892" s="7"/>
      <c r="P892" s="6"/>
      <c r="Q892" s="6"/>
      <c r="R892" s="6"/>
      <c r="S892" s="6"/>
      <c r="T892" s="6"/>
      <c r="U892" s="6"/>
      <c r="V892" s="6"/>
      <c r="W892" s="6"/>
      <c r="X892" s="6"/>
      <c r="Y892" s="6"/>
      <c r="Z892" s="6"/>
      <c r="AA892" s="6"/>
    </row>
    <row r="893" ht="15.75" customHeight="1">
      <c r="A893" s="59"/>
      <c r="B893" s="59"/>
      <c r="C893" s="59"/>
      <c r="D893" s="59"/>
      <c r="E893" s="59"/>
      <c r="F893" s="59"/>
      <c r="G893" s="59"/>
      <c r="H893" s="59"/>
      <c r="I893" s="59"/>
      <c r="J893" s="59"/>
      <c r="K893" s="59"/>
      <c r="L893" s="59"/>
      <c r="M893" s="59"/>
      <c r="N893" s="59"/>
      <c r="O893" s="7"/>
      <c r="P893" s="6"/>
      <c r="Q893" s="6"/>
      <c r="R893" s="6"/>
      <c r="S893" s="6"/>
      <c r="T893" s="6"/>
      <c r="U893" s="6"/>
      <c r="V893" s="6"/>
      <c r="W893" s="6"/>
      <c r="X893" s="6"/>
      <c r="Y893" s="6"/>
      <c r="Z893" s="6"/>
      <c r="AA893" s="6"/>
    </row>
    <row r="894" ht="15.75" customHeight="1">
      <c r="A894" s="59"/>
      <c r="B894" s="59"/>
      <c r="C894" s="59"/>
      <c r="D894" s="59"/>
      <c r="E894" s="59"/>
      <c r="F894" s="59"/>
      <c r="G894" s="59"/>
      <c r="H894" s="59"/>
      <c r="I894" s="59"/>
      <c r="J894" s="59"/>
      <c r="K894" s="59"/>
      <c r="L894" s="59"/>
      <c r="M894" s="59"/>
      <c r="N894" s="59"/>
      <c r="O894" s="7"/>
      <c r="P894" s="6"/>
      <c r="Q894" s="6"/>
      <c r="R894" s="6"/>
      <c r="S894" s="6"/>
      <c r="T894" s="6"/>
      <c r="U894" s="6"/>
      <c r="V894" s="6"/>
      <c r="W894" s="6"/>
      <c r="X894" s="6"/>
      <c r="Y894" s="6"/>
      <c r="Z894" s="6"/>
      <c r="AA894" s="6"/>
    </row>
    <row r="895" ht="15.75" customHeight="1">
      <c r="A895" s="59"/>
      <c r="B895" s="59"/>
      <c r="C895" s="59"/>
      <c r="D895" s="59"/>
      <c r="E895" s="59"/>
      <c r="F895" s="59"/>
      <c r="G895" s="59"/>
      <c r="H895" s="59"/>
      <c r="I895" s="59"/>
      <c r="J895" s="59"/>
      <c r="K895" s="59"/>
      <c r="L895" s="59"/>
      <c r="M895" s="59"/>
      <c r="N895" s="59"/>
      <c r="O895" s="7"/>
      <c r="P895" s="6"/>
      <c r="Q895" s="6"/>
      <c r="R895" s="6"/>
      <c r="S895" s="6"/>
      <c r="T895" s="6"/>
      <c r="U895" s="6"/>
      <c r="V895" s="6"/>
      <c r="W895" s="6"/>
      <c r="X895" s="6"/>
      <c r="Y895" s="6"/>
      <c r="Z895" s="6"/>
      <c r="AA895" s="6"/>
    </row>
    <row r="896" ht="15.75" customHeight="1">
      <c r="A896" s="59"/>
      <c r="B896" s="59"/>
      <c r="C896" s="59"/>
      <c r="D896" s="59"/>
      <c r="E896" s="59"/>
      <c r="F896" s="59"/>
      <c r="G896" s="59"/>
      <c r="H896" s="59"/>
      <c r="I896" s="59"/>
      <c r="J896" s="59"/>
      <c r="K896" s="59"/>
      <c r="L896" s="59"/>
      <c r="M896" s="59"/>
      <c r="N896" s="59"/>
      <c r="O896" s="7"/>
      <c r="P896" s="6"/>
      <c r="Q896" s="6"/>
      <c r="R896" s="6"/>
      <c r="S896" s="6"/>
      <c r="T896" s="6"/>
      <c r="U896" s="6"/>
      <c r="V896" s="6"/>
      <c r="W896" s="6"/>
      <c r="X896" s="6"/>
      <c r="Y896" s="6"/>
      <c r="Z896" s="6"/>
      <c r="AA896" s="6"/>
    </row>
    <row r="897" ht="15.75" customHeight="1">
      <c r="A897" s="59"/>
      <c r="B897" s="59"/>
      <c r="C897" s="59"/>
      <c r="D897" s="59"/>
      <c r="E897" s="59"/>
      <c r="F897" s="59"/>
      <c r="G897" s="59"/>
      <c r="H897" s="59"/>
      <c r="I897" s="59"/>
      <c r="J897" s="59"/>
      <c r="K897" s="59"/>
      <c r="L897" s="59"/>
      <c r="M897" s="59"/>
      <c r="N897" s="59"/>
      <c r="O897" s="7"/>
      <c r="P897" s="6"/>
      <c r="Q897" s="6"/>
      <c r="R897" s="6"/>
      <c r="S897" s="6"/>
      <c r="T897" s="6"/>
      <c r="U897" s="6"/>
      <c r="V897" s="6"/>
      <c r="W897" s="6"/>
      <c r="X897" s="6"/>
      <c r="Y897" s="6"/>
      <c r="Z897" s="6"/>
      <c r="AA897" s="6"/>
    </row>
    <row r="898" ht="15.75" customHeight="1">
      <c r="A898" s="59"/>
      <c r="B898" s="59"/>
      <c r="C898" s="59"/>
      <c r="D898" s="59"/>
      <c r="E898" s="59"/>
      <c r="F898" s="59"/>
      <c r="G898" s="59"/>
      <c r="H898" s="59"/>
      <c r="I898" s="59"/>
      <c r="J898" s="59"/>
      <c r="K898" s="59"/>
      <c r="L898" s="59"/>
      <c r="M898" s="59"/>
      <c r="N898" s="59"/>
      <c r="O898" s="7"/>
      <c r="P898" s="6"/>
      <c r="Q898" s="6"/>
      <c r="R898" s="6"/>
      <c r="S898" s="6"/>
      <c r="T898" s="6"/>
      <c r="U898" s="6"/>
      <c r="V898" s="6"/>
      <c r="W898" s="6"/>
      <c r="X898" s="6"/>
      <c r="Y898" s="6"/>
      <c r="Z898" s="6"/>
      <c r="AA898" s="6"/>
    </row>
    <row r="899" ht="15.75" customHeight="1">
      <c r="A899" s="59"/>
      <c r="B899" s="59"/>
      <c r="C899" s="59"/>
      <c r="D899" s="59"/>
      <c r="E899" s="59"/>
      <c r="F899" s="59"/>
      <c r="G899" s="59"/>
      <c r="H899" s="59"/>
      <c r="I899" s="59"/>
      <c r="J899" s="59"/>
      <c r="K899" s="59"/>
      <c r="L899" s="59"/>
      <c r="M899" s="59"/>
      <c r="N899" s="59"/>
      <c r="O899" s="7"/>
      <c r="P899" s="6"/>
      <c r="Q899" s="6"/>
      <c r="R899" s="6"/>
      <c r="S899" s="6"/>
      <c r="T899" s="6"/>
      <c r="U899" s="6"/>
      <c r="V899" s="6"/>
      <c r="W899" s="6"/>
      <c r="X899" s="6"/>
      <c r="Y899" s="6"/>
      <c r="Z899" s="6"/>
      <c r="AA899" s="6"/>
    </row>
    <row r="900" ht="15.75" customHeight="1">
      <c r="A900" s="59"/>
      <c r="B900" s="59"/>
      <c r="C900" s="59"/>
      <c r="D900" s="59"/>
      <c r="E900" s="59"/>
      <c r="F900" s="59"/>
      <c r="G900" s="59"/>
      <c r="H900" s="59"/>
      <c r="I900" s="59"/>
      <c r="J900" s="59"/>
      <c r="K900" s="59"/>
      <c r="L900" s="59"/>
      <c r="M900" s="59"/>
      <c r="N900" s="59"/>
      <c r="O900" s="7"/>
      <c r="P900" s="6"/>
      <c r="Q900" s="6"/>
      <c r="R900" s="6"/>
      <c r="S900" s="6"/>
      <c r="T900" s="6"/>
      <c r="U900" s="6"/>
      <c r="V900" s="6"/>
      <c r="W900" s="6"/>
      <c r="X900" s="6"/>
      <c r="Y900" s="6"/>
      <c r="Z900" s="6"/>
      <c r="AA900" s="6"/>
    </row>
    <row r="901" ht="15.75" customHeight="1">
      <c r="A901" s="59"/>
      <c r="B901" s="59"/>
      <c r="C901" s="59"/>
      <c r="D901" s="59"/>
      <c r="E901" s="59"/>
      <c r="F901" s="59"/>
      <c r="G901" s="59"/>
      <c r="H901" s="59"/>
      <c r="I901" s="59"/>
      <c r="J901" s="59"/>
      <c r="K901" s="59"/>
      <c r="L901" s="59"/>
      <c r="M901" s="59"/>
      <c r="N901" s="59"/>
      <c r="O901" s="7"/>
      <c r="P901" s="6"/>
      <c r="Q901" s="6"/>
      <c r="R901" s="6"/>
      <c r="S901" s="6"/>
      <c r="T901" s="6"/>
      <c r="U901" s="6"/>
      <c r="V901" s="6"/>
      <c r="W901" s="6"/>
      <c r="X901" s="6"/>
      <c r="Y901" s="6"/>
      <c r="Z901" s="6"/>
      <c r="AA901" s="6"/>
    </row>
    <row r="902" ht="15.75" customHeight="1">
      <c r="A902" s="59"/>
      <c r="B902" s="59"/>
      <c r="C902" s="59"/>
      <c r="D902" s="59"/>
      <c r="E902" s="59"/>
      <c r="F902" s="59"/>
      <c r="G902" s="59"/>
      <c r="H902" s="59"/>
      <c r="I902" s="59"/>
      <c r="J902" s="59"/>
      <c r="K902" s="59"/>
      <c r="L902" s="59"/>
      <c r="M902" s="59"/>
      <c r="N902" s="59"/>
      <c r="O902" s="7"/>
      <c r="P902" s="6"/>
      <c r="Q902" s="6"/>
      <c r="R902" s="6"/>
      <c r="S902" s="6"/>
      <c r="T902" s="6"/>
      <c r="U902" s="6"/>
      <c r="V902" s="6"/>
      <c r="W902" s="6"/>
      <c r="X902" s="6"/>
      <c r="Y902" s="6"/>
      <c r="Z902" s="6"/>
      <c r="AA902" s="6"/>
    </row>
    <row r="903" ht="15.75" customHeight="1">
      <c r="A903" s="59"/>
      <c r="B903" s="59"/>
      <c r="C903" s="59"/>
      <c r="D903" s="59"/>
      <c r="E903" s="59"/>
      <c r="F903" s="59"/>
      <c r="G903" s="59"/>
      <c r="H903" s="59"/>
      <c r="I903" s="59"/>
      <c r="J903" s="59"/>
      <c r="K903" s="59"/>
      <c r="L903" s="59"/>
      <c r="M903" s="59"/>
      <c r="N903" s="59"/>
      <c r="O903" s="7"/>
      <c r="P903" s="6"/>
      <c r="Q903" s="6"/>
      <c r="R903" s="6"/>
      <c r="S903" s="6"/>
      <c r="T903" s="6"/>
      <c r="U903" s="6"/>
      <c r="V903" s="6"/>
      <c r="W903" s="6"/>
      <c r="X903" s="6"/>
      <c r="Y903" s="6"/>
      <c r="Z903" s="6"/>
      <c r="AA903" s="6"/>
    </row>
    <row r="904" ht="15.75" customHeight="1">
      <c r="A904" s="59"/>
      <c r="B904" s="59"/>
      <c r="C904" s="59"/>
      <c r="D904" s="59"/>
      <c r="E904" s="59"/>
      <c r="F904" s="59"/>
      <c r="G904" s="59"/>
      <c r="H904" s="59"/>
      <c r="I904" s="59"/>
      <c r="J904" s="59"/>
      <c r="K904" s="59"/>
      <c r="L904" s="59"/>
      <c r="M904" s="59"/>
      <c r="N904" s="59"/>
      <c r="O904" s="7"/>
      <c r="P904" s="6"/>
      <c r="Q904" s="6"/>
      <c r="R904" s="6"/>
      <c r="S904" s="6"/>
      <c r="T904" s="6"/>
      <c r="U904" s="6"/>
      <c r="V904" s="6"/>
      <c r="W904" s="6"/>
      <c r="X904" s="6"/>
      <c r="Y904" s="6"/>
      <c r="Z904" s="6"/>
      <c r="AA904" s="6"/>
    </row>
    <row r="905" ht="15.75" customHeight="1">
      <c r="A905" s="59"/>
      <c r="B905" s="59"/>
      <c r="C905" s="59"/>
      <c r="D905" s="59"/>
      <c r="E905" s="59"/>
      <c r="F905" s="59"/>
      <c r="G905" s="59"/>
      <c r="H905" s="59"/>
      <c r="I905" s="59"/>
      <c r="J905" s="59"/>
      <c r="K905" s="59"/>
      <c r="L905" s="59"/>
      <c r="M905" s="59"/>
      <c r="N905" s="59"/>
      <c r="O905" s="7"/>
      <c r="P905" s="6"/>
      <c r="Q905" s="6"/>
      <c r="R905" s="6"/>
      <c r="S905" s="6"/>
      <c r="T905" s="6"/>
      <c r="U905" s="6"/>
      <c r="V905" s="6"/>
      <c r="W905" s="6"/>
      <c r="X905" s="6"/>
      <c r="Y905" s="6"/>
      <c r="Z905" s="6"/>
      <c r="AA905" s="6"/>
    </row>
    <row r="906" ht="15.75" customHeight="1">
      <c r="A906" s="59"/>
      <c r="B906" s="59"/>
      <c r="C906" s="59"/>
      <c r="D906" s="59"/>
      <c r="E906" s="59"/>
      <c r="F906" s="59"/>
      <c r="G906" s="59"/>
      <c r="H906" s="59"/>
      <c r="I906" s="59"/>
      <c r="J906" s="59"/>
      <c r="K906" s="59"/>
      <c r="L906" s="59"/>
      <c r="M906" s="59"/>
      <c r="N906" s="59"/>
      <c r="O906" s="7"/>
      <c r="P906" s="6"/>
      <c r="Q906" s="6"/>
      <c r="R906" s="6"/>
      <c r="S906" s="6"/>
      <c r="T906" s="6"/>
      <c r="U906" s="6"/>
      <c r="V906" s="6"/>
      <c r="W906" s="6"/>
      <c r="X906" s="6"/>
      <c r="Y906" s="6"/>
      <c r="Z906" s="6"/>
      <c r="AA906" s="6"/>
    </row>
    <row r="907" ht="15.75" customHeight="1">
      <c r="A907" s="59"/>
      <c r="B907" s="59"/>
      <c r="C907" s="59"/>
      <c r="D907" s="59"/>
      <c r="E907" s="59"/>
      <c r="F907" s="59"/>
      <c r="G907" s="59"/>
      <c r="H907" s="59"/>
      <c r="I907" s="59"/>
      <c r="J907" s="59"/>
      <c r="K907" s="59"/>
      <c r="L907" s="59"/>
      <c r="M907" s="59"/>
      <c r="N907" s="59"/>
      <c r="O907" s="7"/>
      <c r="P907" s="6"/>
      <c r="Q907" s="6"/>
      <c r="R907" s="6"/>
      <c r="S907" s="6"/>
      <c r="T907" s="6"/>
      <c r="U907" s="6"/>
      <c r="V907" s="6"/>
      <c r="W907" s="6"/>
      <c r="X907" s="6"/>
      <c r="Y907" s="6"/>
      <c r="Z907" s="6"/>
      <c r="AA907" s="6"/>
    </row>
    <row r="908" ht="15.75" customHeight="1">
      <c r="A908" s="59"/>
      <c r="B908" s="59"/>
      <c r="C908" s="59"/>
      <c r="D908" s="59"/>
      <c r="E908" s="59"/>
      <c r="F908" s="59"/>
      <c r="G908" s="59"/>
      <c r="H908" s="59"/>
      <c r="I908" s="59"/>
      <c r="J908" s="59"/>
      <c r="K908" s="59"/>
      <c r="L908" s="59"/>
      <c r="M908" s="59"/>
      <c r="N908" s="59"/>
      <c r="O908" s="7"/>
      <c r="P908" s="6"/>
      <c r="Q908" s="6"/>
      <c r="R908" s="6"/>
      <c r="S908" s="6"/>
      <c r="T908" s="6"/>
      <c r="U908" s="6"/>
      <c r="V908" s="6"/>
      <c r="W908" s="6"/>
      <c r="X908" s="6"/>
      <c r="Y908" s="6"/>
      <c r="Z908" s="6"/>
      <c r="AA908" s="6"/>
    </row>
    <row r="909" ht="15.75" customHeight="1">
      <c r="A909" s="59"/>
      <c r="B909" s="59"/>
      <c r="C909" s="59"/>
      <c r="D909" s="59"/>
      <c r="E909" s="59"/>
      <c r="F909" s="59"/>
      <c r="G909" s="59"/>
      <c r="H909" s="59"/>
      <c r="I909" s="59"/>
      <c r="J909" s="59"/>
      <c r="K909" s="59"/>
      <c r="L909" s="59"/>
      <c r="M909" s="59"/>
      <c r="N909" s="59"/>
      <c r="O909" s="7"/>
      <c r="P909" s="6"/>
      <c r="Q909" s="6"/>
      <c r="R909" s="6"/>
      <c r="S909" s="6"/>
      <c r="T909" s="6"/>
      <c r="U909" s="6"/>
      <c r="V909" s="6"/>
      <c r="W909" s="6"/>
      <c r="X909" s="6"/>
      <c r="Y909" s="6"/>
      <c r="Z909" s="6"/>
      <c r="AA909" s="6"/>
    </row>
    <row r="910" ht="15.75" customHeight="1">
      <c r="A910" s="59"/>
      <c r="B910" s="59"/>
      <c r="C910" s="59"/>
      <c r="D910" s="59"/>
      <c r="E910" s="59"/>
      <c r="F910" s="59"/>
      <c r="G910" s="59"/>
      <c r="H910" s="59"/>
      <c r="I910" s="59"/>
      <c r="J910" s="59"/>
      <c r="K910" s="59"/>
      <c r="L910" s="59"/>
      <c r="M910" s="59"/>
      <c r="N910" s="59"/>
      <c r="O910" s="7"/>
      <c r="P910" s="6"/>
      <c r="Q910" s="6"/>
      <c r="R910" s="6"/>
      <c r="S910" s="6"/>
      <c r="T910" s="6"/>
      <c r="U910" s="6"/>
      <c r="V910" s="6"/>
      <c r="W910" s="6"/>
      <c r="X910" s="6"/>
      <c r="Y910" s="6"/>
      <c r="Z910" s="6"/>
      <c r="AA910" s="6"/>
    </row>
    <row r="911" ht="15.75" customHeight="1">
      <c r="A911" s="59"/>
      <c r="B911" s="59"/>
      <c r="C911" s="59"/>
      <c r="D911" s="59"/>
      <c r="E911" s="59"/>
      <c r="F911" s="59"/>
      <c r="G911" s="59"/>
      <c r="H911" s="59"/>
      <c r="I911" s="59"/>
      <c r="J911" s="59"/>
      <c r="K911" s="59"/>
      <c r="L911" s="59"/>
      <c r="M911" s="59"/>
      <c r="N911" s="59"/>
      <c r="O911" s="7"/>
      <c r="P911" s="6"/>
      <c r="Q911" s="6"/>
      <c r="R911" s="6"/>
      <c r="S911" s="6"/>
      <c r="T911" s="6"/>
      <c r="U911" s="6"/>
      <c r="V911" s="6"/>
      <c r="W911" s="6"/>
      <c r="X911" s="6"/>
      <c r="Y911" s="6"/>
      <c r="Z911" s="6"/>
      <c r="AA911" s="6"/>
    </row>
    <row r="912" ht="15.75" customHeight="1">
      <c r="A912" s="59"/>
      <c r="B912" s="59"/>
      <c r="C912" s="59"/>
      <c r="D912" s="59"/>
      <c r="E912" s="59"/>
      <c r="F912" s="59"/>
      <c r="G912" s="59"/>
      <c r="H912" s="59"/>
      <c r="I912" s="59"/>
      <c r="J912" s="59"/>
      <c r="K912" s="59"/>
      <c r="L912" s="59"/>
      <c r="M912" s="59"/>
      <c r="N912" s="59"/>
      <c r="O912" s="7"/>
      <c r="P912" s="6"/>
      <c r="Q912" s="6"/>
      <c r="R912" s="6"/>
      <c r="S912" s="6"/>
      <c r="T912" s="6"/>
      <c r="U912" s="6"/>
      <c r="V912" s="6"/>
      <c r="W912" s="6"/>
      <c r="X912" s="6"/>
      <c r="Y912" s="6"/>
      <c r="Z912" s="6"/>
      <c r="AA912" s="6"/>
    </row>
    <row r="913" ht="15.75" customHeight="1">
      <c r="A913" s="59"/>
      <c r="B913" s="59"/>
      <c r="C913" s="59"/>
      <c r="D913" s="59"/>
      <c r="E913" s="59"/>
      <c r="F913" s="59"/>
      <c r="G913" s="59"/>
      <c r="H913" s="59"/>
      <c r="I913" s="59"/>
      <c r="J913" s="59"/>
      <c r="K913" s="59"/>
      <c r="L913" s="59"/>
      <c r="M913" s="59"/>
      <c r="N913" s="59"/>
      <c r="O913" s="7"/>
      <c r="P913" s="6"/>
      <c r="Q913" s="6"/>
      <c r="R913" s="6"/>
      <c r="S913" s="6"/>
      <c r="T913" s="6"/>
      <c r="U913" s="6"/>
      <c r="V913" s="6"/>
      <c r="W913" s="6"/>
      <c r="X913" s="6"/>
      <c r="Y913" s="6"/>
      <c r="Z913" s="6"/>
      <c r="AA913" s="6"/>
    </row>
    <row r="914" ht="15.75" customHeight="1">
      <c r="A914" s="59"/>
      <c r="B914" s="59"/>
      <c r="C914" s="59"/>
      <c r="D914" s="59"/>
      <c r="E914" s="59"/>
      <c r="F914" s="59"/>
      <c r="G914" s="59"/>
      <c r="H914" s="59"/>
      <c r="I914" s="59"/>
      <c r="J914" s="59"/>
      <c r="K914" s="59"/>
      <c r="L914" s="59"/>
      <c r="M914" s="59"/>
      <c r="N914" s="59"/>
      <c r="O914" s="7"/>
      <c r="P914" s="6"/>
      <c r="Q914" s="6"/>
      <c r="R914" s="6"/>
      <c r="S914" s="6"/>
      <c r="T914" s="6"/>
      <c r="U914" s="6"/>
      <c r="V914" s="6"/>
      <c r="W914" s="6"/>
      <c r="X914" s="6"/>
      <c r="Y914" s="6"/>
      <c r="Z914" s="6"/>
      <c r="AA914" s="6"/>
    </row>
    <row r="915" ht="15.75" customHeight="1">
      <c r="A915" s="59"/>
      <c r="B915" s="59"/>
      <c r="C915" s="59"/>
      <c r="D915" s="59"/>
      <c r="E915" s="59"/>
      <c r="F915" s="59"/>
      <c r="G915" s="59"/>
      <c r="H915" s="59"/>
      <c r="I915" s="59"/>
      <c r="J915" s="59"/>
      <c r="K915" s="59"/>
      <c r="L915" s="59"/>
      <c r="M915" s="59"/>
      <c r="N915" s="59"/>
      <c r="O915" s="7"/>
      <c r="P915" s="6"/>
      <c r="Q915" s="6"/>
      <c r="R915" s="6"/>
      <c r="S915" s="6"/>
      <c r="T915" s="6"/>
      <c r="U915" s="6"/>
      <c r="V915" s="6"/>
      <c r="W915" s="6"/>
      <c r="X915" s="6"/>
      <c r="Y915" s="6"/>
      <c r="Z915" s="6"/>
      <c r="AA915" s="6"/>
    </row>
    <row r="916" ht="15.75" customHeight="1">
      <c r="A916" s="59"/>
      <c r="B916" s="59"/>
      <c r="C916" s="59"/>
      <c r="D916" s="59"/>
      <c r="E916" s="59"/>
      <c r="F916" s="59"/>
      <c r="G916" s="59"/>
      <c r="H916" s="59"/>
      <c r="I916" s="59"/>
      <c r="J916" s="59"/>
      <c r="K916" s="59"/>
      <c r="L916" s="59"/>
      <c r="M916" s="59"/>
      <c r="N916" s="59"/>
      <c r="O916" s="7"/>
      <c r="P916" s="6"/>
      <c r="Q916" s="6"/>
      <c r="R916" s="6"/>
      <c r="S916" s="6"/>
      <c r="T916" s="6"/>
      <c r="U916" s="6"/>
      <c r="V916" s="6"/>
      <c r="W916" s="6"/>
      <c r="X916" s="6"/>
      <c r="Y916" s="6"/>
      <c r="Z916" s="6"/>
      <c r="AA916" s="6"/>
    </row>
    <row r="917" ht="15.75" customHeight="1">
      <c r="A917" s="59"/>
      <c r="B917" s="59"/>
      <c r="C917" s="59"/>
      <c r="D917" s="59"/>
      <c r="E917" s="59"/>
      <c r="F917" s="59"/>
      <c r="G917" s="59"/>
      <c r="H917" s="59"/>
      <c r="I917" s="59"/>
      <c r="J917" s="59"/>
      <c r="K917" s="59"/>
      <c r="L917" s="59"/>
      <c r="M917" s="59"/>
      <c r="N917" s="59"/>
      <c r="O917" s="7"/>
      <c r="P917" s="6"/>
      <c r="Q917" s="6"/>
      <c r="R917" s="6"/>
      <c r="S917" s="6"/>
      <c r="T917" s="6"/>
      <c r="U917" s="6"/>
      <c r="V917" s="6"/>
      <c r="W917" s="6"/>
      <c r="X917" s="6"/>
      <c r="Y917" s="6"/>
      <c r="Z917" s="6"/>
      <c r="AA917" s="6"/>
    </row>
    <row r="918" ht="15.75" customHeight="1">
      <c r="A918" s="59"/>
      <c r="B918" s="59"/>
      <c r="C918" s="59"/>
      <c r="D918" s="59"/>
      <c r="E918" s="59"/>
      <c r="F918" s="59"/>
      <c r="G918" s="59"/>
      <c r="H918" s="59"/>
      <c r="I918" s="59"/>
      <c r="J918" s="59"/>
      <c r="K918" s="59"/>
      <c r="L918" s="59"/>
      <c r="M918" s="59"/>
      <c r="N918" s="59"/>
      <c r="O918" s="7"/>
      <c r="P918" s="6"/>
      <c r="Q918" s="6"/>
      <c r="R918" s="6"/>
      <c r="S918" s="6"/>
      <c r="T918" s="6"/>
      <c r="U918" s="6"/>
      <c r="V918" s="6"/>
      <c r="W918" s="6"/>
      <c r="X918" s="6"/>
      <c r="Y918" s="6"/>
      <c r="Z918" s="6"/>
      <c r="AA918" s="6"/>
    </row>
    <row r="919" ht="15.75" customHeight="1">
      <c r="A919" s="59"/>
      <c r="B919" s="59"/>
      <c r="C919" s="59"/>
      <c r="D919" s="59"/>
      <c r="E919" s="59"/>
      <c r="F919" s="59"/>
      <c r="G919" s="59"/>
      <c r="H919" s="59"/>
      <c r="I919" s="59"/>
      <c r="J919" s="59"/>
      <c r="K919" s="59"/>
      <c r="L919" s="59"/>
      <c r="M919" s="59"/>
      <c r="N919" s="59"/>
      <c r="O919" s="7"/>
      <c r="P919" s="6"/>
      <c r="Q919" s="6"/>
      <c r="R919" s="6"/>
      <c r="S919" s="6"/>
      <c r="T919" s="6"/>
      <c r="U919" s="6"/>
      <c r="V919" s="6"/>
      <c r="W919" s="6"/>
      <c r="X919" s="6"/>
      <c r="Y919" s="6"/>
      <c r="Z919" s="6"/>
      <c r="AA919" s="6"/>
    </row>
    <row r="920" ht="15.75" customHeight="1">
      <c r="A920" s="59"/>
      <c r="B920" s="59"/>
      <c r="C920" s="59"/>
      <c r="D920" s="59"/>
      <c r="E920" s="59"/>
      <c r="F920" s="59"/>
      <c r="G920" s="59"/>
      <c r="H920" s="59"/>
      <c r="I920" s="59"/>
      <c r="J920" s="59"/>
      <c r="K920" s="59"/>
      <c r="L920" s="59"/>
      <c r="M920" s="59"/>
      <c r="N920" s="59"/>
      <c r="O920" s="7"/>
      <c r="P920" s="6"/>
      <c r="Q920" s="6"/>
      <c r="R920" s="6"/>
      <c r="S920" s="6"/>
      <c r="T920" s="6"/>
      <c r="U920" s="6"/>
      <c r="V920" s="6"/>
      <c r="W920" s="6"/>
      <c r="X920" s="6"/>
      <c r="Y920" s="6"/>
      <c r="Z920" s="6"/>
      <c r="AA920" s="6"/>
    </row>
    <row r="921" ht="15.75" customHeight="1">
      <c r="A921" s="59"/>
      <c r="B921" s="59"/>
      <c r="C921" s="59"/>
      <c r="D921" s="59"/>
      <c r="E921" s="59"/>
      <c r="F921" s="59"/>
      <c r="G921" s="59"/>
      <c r="H921" s="59"/>
      <c r="I921" s="59"/>
      <c r="J921" s="59"/>
      <c r="K921" s="59"/>
      <c r="L921" s="59"/>
      <c r="M921" s="59"/>
      <c r="N921" s="59"/>
      <c r="O921" s="7"/>
      <c r="P921" s="6"/>
      <c r="Q921" s="6"/>
      <c r="R921" s="6"/>
      <c r="S921" s="6"/>
      <c r="T921" s="6"/>
      <c r="U921" s="6"/>
      <c r="V921" s="6"/>
      <c r="W921" s="6"/>
      <c r="X921" s="6"/>
      <c r="Y921" s="6"/>
      <c r="Z921" s="6"/>
      <c r="AA921" s="6"/>
    </row>
    <row r="922" ht="15.75" customHeight="1">
      <c r="A922" s="59"/>
      <c r="B922" s="59"/>
      <c r="C922" s="59"/>
      <c r="D922" s="59"/>
      <c r="E922" s="59"/>
      <c r="F922" s="59"/>
      <c r="G922" s="59"/>
      <c r="H922" s="59"/>
      <c r="I922" s="59"/>
      <c r="J922" s="59"/>
      <c r="K922" s="59"/>
      <c r="L922" s="59"/>
      <c r="M922" s="59"/>
      <c r="N922" s="59"/>
      <c r="O922" s="7"/>
      <c r="P922" s="6"/>
      <c r="Q922" s="6"/>
      <c r="R922" s="6"/>
      <c r="S922" s="6"/>
      <c r="T922" s="6"/>
      <c r="U922" s="6"/>
      <c r="V922" s="6"/>
      <c r="W922" s="6"/>
      <c r="X922" s="6"/>
      <c r="Y922" s="6"/>
      <c r="Z922" s="6"/>
      <c r="AA922" s="6"/>
    </row>
    <row r="923" ht="15.75" customHeight="1">
      <c r="A923" s="59"/>
      <c r="B923" s="59"/>
      <c r="C923" s="59"/>
      <c r="D923" s="59"/>
      <c r="E923" s="59"/>
      <c r="F923" s="59"/>
      <c r="G923" s="59"/>
      <c r="H923" s="59"/>
      <c r="I923" s="59"/>
      <c r="J923" s="59"/>
      <c r="K923" s="59"/>
      <c r="L923" s="59"/>
      <c r="M923" s="59"/>
      <c r="N923" s="59"/>
      <c r="O923" s="7"/>
      <c r="P923" s="6"/>
      <c r="Q923" s="6"/>
      <c r="R923" s="6"/>
      <c r="S923" s="6"/>
      <c r="T923" s="6"/>
      <c r="U923" s="6"/>
      <c r="V923" s="6"/>
      <c r="W923" s="6"/>
      <c r="X923" s="6"/>
      <c r="Y923" s="6"/>
      <c r="Z923" s="6"/>
      <c r="AA923" s="6"/>
    </row>
    <row r="924" ht="15.75" customHeight="1">
      <c r="A924" s="59"/>
      <c r="B924" s="59"/>
      <c r="C924" s="59"/>
      <c r="D924" s="59"/>
      <c r="E924" s="59"/>
      <c r="F924" s="59"/>
      <c r="G924" s="59"/>
      <c r="H924" s="59"/>
      <c r="I924" s="59"/>
      <c r="J924" s="59"/>
      <c r="K924" s="59"/>
      <c r="L924" s="59"/>
      <c r="M924" s="59"/>
      <c r="N924" s="59"/>
      <c r="O924" s="7"/>
      <c r="P924" s="6"/>
      <c r="Q924" s="6"/>
      <c r="R924" s="6"/>
      <c r="S924" s="6"/>
      <c r="T924" s="6"/>
      <c r="U924" s="6"/>
      <c r="V924" s="6"/>
      <c r="W924" s="6"/>
      <c r="X924" s="6"/>
      <c r="Y924" s="6"/>
      <c r="Z924" s="6"/>
      <c r="AA924" s="6"/>
    </row>
    <row r="925" ht="15.75" customHeight="1">
      <c r="A925" s="59"/>
      <c r="B925" s="59"/>
      <c r="C925" s="59"/>
      <c r="D925" s="59"/>
      <c r="E925" s="59"/>
      <c r="F925" s="59"/>
      <c r="G925" s="59"/>
      <c r="H925" s="59"/>
      <c r="I925" s="59"/>
      <c r="J925" s="59"/>
      <c r="K925" s="59"/>
      <c r="L925" s="59"/>
      <c r="M925" s="59"/>
      <c r="N925" s="59"/>
      <c r="O925" s="7"/>
      <c r="P925" s="6"/>
      <c r="Q925" s="6"/>
      <c r="R925" s="6"/>
      <c r="S925" s="6"/>
      <c r="T925" s="6"/>
      <c r="U925" s="6"/>
      <c r="V925" s="6"/>
      <c r="W925" s="6"/>
      <c r="X925" s="6"/>
      <c r="Y925" s="6"/>
      <c r="Z925" s="6"/>
      <c r="AA925" s="6"/>
    </row>
    <row r="926" ht="15.75" customHeight="1">
      <c r="A926" s="59"/>
      <c r="B926" s="59"/>
      <c r="C926" s="59"/>
      <c r="D926" s="59"/>
      <c r="E926" s="59"/>
      <c r="F926" s="59"/>
      <c r="G926" s="59"/>
      <c r="H926" s="59"/>
      <c r="I926" s="59"/>
      <c r="J926" s="59"/>
      <c r="K926" s="59"/>
      <c r="L926" s="59"/>
      <c r="M926" s="59"/>
      <c r="N926" s="59"/>
      <c r="O926" s="7"/>
      <c r="P926" s="6"/>
      <c r="Q926" s="6"/>
      <c r="R926" s="6"/>
      <c r="S926" s="6"/>
      <c r="T926" s="6"/>
      <c r="U926" s="6"/>
      <c r="V926" s="6"/>
      <c r="W926" s="6"/>
      <c r="X926" s="6"/>
      <c r="Y926" s="6"/>
      <c r="Z926" s="6"/>
      <c r="AA926" s="6"/>
    </row>
    <row r="927" ht="15.75" customHeight="1">
      <c r="A927" s="59"/>
      <c r="B927" s="59"/>
      <c r="C927" s="59"/>
      <c r="D927" s="59"/>
      <c r="E927" s="59"/>
      <c r="F927" s="59"/>
      <c r="G927" s="59"/>
      <c r="H927" s="59"/>
      <c r="I927" s="59"/>
      <c r="J927" s="59"/>
      <c r="K927" s="59"/>
      <c r="L927" s="59"/>
      <c r="M927" s="59"/>
      <c r="N927" s="59"/>
      <c r="O927" s="7"/>
      <c r="P927" s="6"/>
      <c r="Q927" s="6"/>
      <c r="R927" s="6"/>
      <c r="S927" s="6"/>
      <c r="T927" s="6"/>
      <c r="U927" s="6"/>
      <c r="V927" s="6"/>
      <c r="W927" s="6"/>
      <c r="X927" s="6"/>
      <c r="Y927" s="6"/>
      <c r="Z927" s="6"/>
      <c r="AA927" s="6"/>
    </row>
    <row r="928" ht="15.75" customHeight="1">
      <c r="A928" s="59"/>
      <c r="B928" s="59"/>
      <c r="C928" s="59"/>
      <c r="D928" s="59"/>
      <c r="E928" s="59"/>
      <c r="F928" s="59"/>
      <c r="G928" s="59"/>
      <c r="H928" s="59"/>
      <c r="I928" s="59"/>
      <c r="J928" s="59"/>
      <c r="K928" s="59"/>
      <c r="L928" s="59"/>
      <c r="M928" s="59"/>
      <c r="N928" s="59"/>
      <c r="O928" s="7"/>
      <c r="P928" s="6"/>
      <c r="Q928" s="6"/>
      <c r="R928" s="6"/>
      <c r="S928" s="6"/>
      <c r="T928" s="6"/>
      <c r="U928" s="6"/>
      <c r="V928" s="6"/>
      <c r="W928" s="6"/>
      <c r="X928" s="6"/>
      <c r="Y928" s="6"/>
      <c r="Z928" s="6"/>
      <c r="AA928" s="6"/>
    </row>
    <row r="929" ht="15.75" customHeight="1">
      <c r="A929" s="59"/>
      <c r="B929" s="59"/>
      <c r="C929" s="59"/>
      <c r="D929" s="59"/>
      <c r="E929" s="59"/>
      <c r="F929" s="59"/>
      <c r="G929" s="59"/>
      <c r="H929" s="59"/>
      <c r="I929" s="59"/>
      <c r="J929" s="59"/>
      <c r="K929" s="59"/>
      <c r="L929" s="59"/>
      <c r="M929" s="59"/>
      <c r="N929" s="59"/>
      <c r="O929" s="7"/>
      <c r="P929" s="6"/>
      <c r="Q929" s="6"/>
      <c r="R929" s="6"/>
      <c r="S929" s="6"/>
      <c r="T929" s="6"/>
      <c r="U929" s="6"/>
      <c r="V929" s="6"/>
      <c r="W929" s="6"/>
      <c r="X929" s="6"/>
      <c r="Y929" s="6"/>
      <c r="Z929" s="6"/>
      <c r="AA929" s="6"/>
    </row>
    <row r="930" ht="15.75" customHeight="1">
      <c r="A930" s="59"/>
      <c r="B930" s="59"/>
      <c r="C930" s="59"/>
      <c r="D930" s="59"/>
      <c r="E930" s="59"/>
      <c r="F930" s="59"/>
      <c r="G930" s="59"/>
      <c r="H930" s="59"/>
      <c r="I930" s="59"/>
      <c r="J930" s="59"/>
      <c r="K930" s="59"/>
      <c r="L930" s="59"/>
      <c r="M930" s="59"/>
      <c r="N930" s="59"/>
      <c r="O930" s="7"/>
      <c r="P930" s="6"/>
      <c r="Q930" s="6"/>
      <c r="R930" s="6"/>
      <c r="S930" s="6"/>
      <c r="T930" s="6"/>
      <c r="U930" s="6"/>
      <c r="V930" s="6"/>
      <c r="W930" s="6"/>
      <c r="X930" s="6"/>
      <c r="Y930" s="6"/>
      <c r="Z930" s="6"/>
      <c r="AA930" s="6"/>
    </row>
    <row r="931" ht="15.75" customHeight="1">
      <c r="A931" s="59"/>
      <c r="B931" s="59"/>
      <c r="C931" s="59"/>
      <c r="D931" s="59"/>
      <c r="E931" s="59"/>
      <c r="F931" s="59"/>
      <c r="G931" s="59"/>
      <c r="H931" s="59"/>
      <c r="I931" s="59"/>
      <c r="J931" s="59"/>
      <c r="K931" s="59"/>
      <c r="L931" s="59"/>
      <c r="M931" s="59"/>
      <c r="N931" s="59"/>
      <c r="O931" s="7"/>
      <c r="P931" s="6"/>
      <c r="Q931" s="6"/>
      <c r="R931" s="6"/>
      <c r="S931" s="6"/>
      <c r="T931" s="6"/>
      <c r="U931" s="6"/>
      <c r="V931" s="6"/>
      <c r="W931" s="6"/>
      <c r="X931" s="6"/>
      <c r="Y931" s="6"/>
      <c r="Z931" s="6"/>
      <c r="AA931" s="6"/>
    </row>
    <row r="932" ht="15.75" customHeight="1">
      <c r="A932" s="59"/>
      <c r="B932" s="59"/>
      <c r="C932" s="59"/>
      <c r="D932" s="59"/>
      <c r="E932" s="59"/>
      <c r="F932" s="59"/>
      <c r="G932" s="59"/>
      <c r="H932" s="59"/>
      <c r="I932" s="59"/>
      <c r="J932" s="59"/>
      <c r="K932" s="59"/>
      <c r="L932" s="59"/>
      <c r="M932" s="59"/>
      <c r="N932" s="59"/>
      <c r="O932" s="7"/>
      <c r="P932" s="6"/>
      <c r="Q932" s="6"/>
      <c r="R932" s="6"/>
      <c r="S932" s="6"/>
      <c r="T932" s="6"/>
      <c r="U932" s="6"/>
      <c r="V932" s="6"/>
      <c r="W932" s="6"/>
      <c r="X932" s="6"/>
      <c r="Y932" s="6"/>
      <c r="Z932" s="6"/>
      <c r="AA932" s="6"/>
    </row>
    <row r="933" ht="15.75" customHeight="1">
      <c r="A933" s="59"/>
      <c r="B933" s="59"/>
      <c r="C933" s="59"/>
      <c r="D933" s="59"/>
      <c r="E933" s="59"/>
      <c r="F933" s="59"/>
      <c r="G933" s="59"/>
      <c r="H933" s="59"/>
      <c r="I933" s="59"/>
      <c r="J933" s="59"/>
      <c r="K933" s="59"/>
      <c r="L933" s="59"/>
      <c r="M933" s="59"/>
      <c r="N933" s="59"/>
      <c r="O933" s="7"/>
      <c r="P933" s="6"/>
      <c r="Q933" s="6"/>
      <c r="R933" s="6"/>
      <c r="S933" s="6"/>
      <c r="T933" s="6"/>
      <c r="U933" s="6"/>
      <c r="V933" s="6"/>
      <c r="W933" s="6"/>
      <c r="X933" s="6"/>
      <c r="Y933" s="6"/>
      <c r="Z933" s="6"/>
      <c r="AA933" s="6"/>
    </row>
    <row r="934" ht="15.75" customHeight="1">
      <c r="A934" s="59"/>
      <c r="B934" s="59"/>
      <c r="C934" s="59"/>
      <c r="D934" s="59"/>
      <c r="E934" s="59"/>
      <c r="F934" s="59"/>
      <c r="G934" s="59"/>
      <c r="H934" s="59"/>
      <c r="I934" s="59"/>
      <c r="J934" s="59"/>
      <c r="K934" s="59"/>
      <c r="L934" s="59"/>
      <c r="M934" s="59"/>
      <c r="N934" s="59"/>
      <c r="O934" s="7"/>
      <c r="P934" s="6"/>
      <c r="Q934" s="6"/>
      <c r="R934" s="6"/>
      <c r="S934" s="6"/>
      <c r="T934" s="6"/>
      <c r="U934" s="6"/>
      <c r="V934" s="6"/>
      <c r="W934" s="6"/>
      <c r="X934" s="6"/>
      <c r="Y934" s="6"/>
      <c r="Z934" s="6"/>
      <c r="AA934" s="6"/>
    </row>
    <row r="935" ht="15.75" customHeight="1">
      <c r="A935" s="59"/>
      <c r="B935" s="59"/>
      <c r="C935" s="59"/>
      <c r="D935" s="59"/>
      <c r="E935" s="59"/>
      <c r="F935" s="59"/>
      <c r="G935" s="59"/>
      <c r="H935" s="59"/>
      <c r="I935" s="59"/>
      <c r="J935" s="59"/>
      <c r="K935" s="59"/>
      <c r="L935" s="59"/>
      <c r="M935" s="59"/>
      <c r="N935" s="59"/>
      <c r="O935" s="7"/>
      <c r="P935" s="6"/>
      <c r="Q935" s="6"/>
      <c r="R935" s="6"/>
      <c r="S935" s="6"/>
      <c r="T935" s="6"/>
      <c r="U935" s="6"/>
      <c r="V935" s="6"/>
      <c r="W935" s="6"/>
      <c r="X935" s="6"/>
      <c r="Y935" s="6"/>
      <c r="Z935" s="6"/>
      <c r="AA935" s="6"/>
    </row>
    <row r="936" ht="15.75" customHeight="1">
      <c r="A936" s="59"/>
      <c r="B936" s="59"/>
      <c r="C936" s="59"/>
      <c r="D936" s="59"/>
      <c r="E936" s="59"/>
      <c r="F936" s="59"/>
      <c r="G936" s="59"/>
      <c r="H936" s="59"/>
      <c r="I936" s="59"/>
      <c r="J936" s="59"/>
      <c r="K936" s="59"/>
      <c r="L936" s="59"/>
      <c r="M936" s="59"/>
      <c r="N936" s="59"/>
      <c r="O936" s="7"/>
      <c r="P936" s="6"/>
      <c r="Q936" s="6"/>
      <c r="R936" s="6"/>
      <c r="S936" s="6"/>
      <c r="T936" s="6"/>
      <c r="U936" s="6"/>
      <c r="V936" s="6"/>
      <c r="W936" s="6"/>
      <c r="X936" s="6"/>
      <c r="Y936" s="6"/>
      <c r="Z936" s="6"/>
      <c r="AA936" s="6"/>
    </row>
    <row r="937" ht="15.75" customHeight="1">
      <c r="A937" s="59"/>
      <c r="B937" s="59"/>
      <c r="C937" s="59"/>
      <c r="D937" s="59"/>
      <c r="E937" s="59"/>
      <c r="F937" s="59"/>
      <c r="G937" s="59"/>
      <c r="H937" s="59"/>
      <c r="I937" s="59"/>
      <c r="J937" s="59"/>
      <c r="K937" s="59"/>
      <c r="L937" s="59"/>
      <c r="M937" s="59"/>
      <c r="N937" s="59"/>
      <c r="O937" s="7"/>
      <c r="P937" s="6"/>
      <c r="Q937" s="6"/>
      <c r="R937" s="6"/>
      <c r="S937" s="6"/>
      <c r="T937" s="6"/>
      <c r="U937" s="6"/>
      <c r="V937" s="6"/>
      <c r="W937" s="6"/>
      <c r="X937" s="6"/>
      <c r="Y937" s="6"/>
      <c r="Z937" s="6"/>
      <c r="AA937" s="6"/>
    </row>
    <row r="938" ht="15.75" customHeight="1">
      <c r="A938" s="59"/>
      <c r="B938" s="59"/>
      <c r="C938" s="59"/>
      <c r="D938" s="59"/>
      <c r="E938" s="59"/>
      <c r="F938" s="59"/>
      <c r="G938" s="59"/>
      <c r="H938" s="59"/>
      <c r="I938" s="59"/>
      <c r="J938" s="59"/>
      <c r="K938" s="59"/>
      <c r="L938" s="59"/>
      <c r="M938" s="59"/>
      <c r="N938" s="59"/>
      <c r="O938" s="7"/>
      <c r="P938" s="6"/>
      <c r="Q938" s="6"/>
      <c r="R938" s="6"/>
      <c r="S938" s="6"/>
      <c r="T938" s="6"/>
      <c r="U938" s="6"/>
      <c r="V938" s="6"/>
      <c r="W938" s="6"/>
      <c r="X938" s="6"/>
      <c r="Y938" s="6"/>
      <c r="Z938" s="6"/>
      <c r="AA938" s="6"/>
    </row>
    <row r="939" ht="15.75" customHeight="1">
      <c r="A939" s="59"/>
      <c r="B939" s="59"/>
      <c r="C939" s="59"/>
      <c r="D939" s="59"/>
      <c r="E939" s="59"/>
      <c r="F939" s="59"/>
      <c r="G939" s="59"/>
      <c r="H939" s="59"/>
      <c r="I939" s="59"/>
      <c r="J939" s="59"/>
      <c r="K939" s="59"/>
      <c r="L939" s="59"/>
      <c r="M939" s="59"/>
      <c r="N939" s="59"/>
      <c r="O939" s="7"/>
      <c r="P939" s="6"/>
      <c r="Q939" s="6"/>
      <c r="R939" s="6"/>
      <c r="S939" s="6"/>
      <c r="T939" s="6"/>
      <c r="U939" s="6"/>
      <c r="V939" s="6"/>
      <c r="W939" s="6"/>
      <c r="X939" s="6"/>
      <c r="Y939" s="6"/>
      <c r="Z939" s="6"/>
      <c r="AA939" s="6"/>
    </row>
    <row r="940" ht="15.75" customHeight="1">
      <c r="A940" s="59"/>
      <c r="B940" s="59"/>
      <c r="C940" s="59"/>
      <c r="D940" s="59"/>
      <c r="E940" s="59"/>
      <c r="F940" s="59"/>
      <c r="G940" s="59"/>
      <c r="H940" s="59"/>
      <c r="I940" s="59"/>
      <c r="J940" s="59"/>
      <c r="K940" s="59"/>
      <c r="L940" s="59"/>
      <c r="M940" s="59"/>
      <c r="N940" s="59"/>
      <c r="O940" s="7"/>
      <c r="P940" s="6"/>
      <c r="Q940" s="6"/>
      <c r="R940" s="6"/>
      <c r="S940" s="6"/>
      <c r="T940" s="6"/>
      <c r="U940" s="6"/>
      <c r="V940" s="6"/>
      <c r="W940" s="6"/>
      <c r="X940" s="6"/>
      <c r="Y940" s="6"/>
      <c r="Z940" s="6"/>
      <c r="AA940" s="6"/>
    </row>
    <row r="941" ht="15.75" customHeight="1">
      <c r="A941" s="59"/>
      <c r="B941" s="59"/>
      <c r="C941" s="59"/>
      <c r="D941" s="59"/>
      <c r="E941" s="59"/>
      <c r="F941" s="59"/>
      <c r="G941" s="59"/>
      <c r="H941" s="59"/>
      <c r="I941" s="59"/>
      <c r="J941" s="59"/>
      <c r="K941" s="59"/>
      <c r="L941" s="59"/>
      <c r="M941" s="59"/>
      <c r="N941" s="59"/>
      <c r="O941" s="7"/>
      <c r="P941" s="6"/>
      <c r="Q941" s="6"/>
      <c r="R941" s="6"/>
      <c r="S941" s="6"/>
      <c r="T941" s="6"/>
      <c r="U941" s="6"/>
      <c r="V941" s="6"/>
      <c r="W941" s="6"/>
      <c r="X941" s="6"/>
      <c r="Y941" s="6"/>
      <c r="Z941" s="6"/>
      <c r="AA941" s="6"/>
    </row>
    <row r="942" ht="15.75" customHeight="1">
      <c r="A942" s="59"/>
      <c r="B942" s="59"/>
      <c r="C942" s="59"/>
      <c r="D942" s="59"/>
      <c r="E942" s="59"/>
      <c r="F942" s="59"/>
      <c r="G942" s="59"/>
      <c r="H942" s="59"/>
      <c r="I942" s="59"/>
      <c r="J942" s="59"/>
      <c r="K942" s="59"/>
      <c r="L942" s="59"/>
      <c r="M942" s="59"/>
      <c r="N942" s="59"/>
      <c r="O942" s="7"/>
      <c r="P942" s="6"/>
      <c r="Q942" s="6"/>
      <c r="R942" s="6"/>
      <c r="S942" s="6"/>
      <c r="T942" s="6"/>
      <c r="U942" s="6"/>
      <c r="V942" s="6"/>
      <c r="W942" s="6"/>
      <c r="X942" s="6"/>
      <c r="Y942" s="6"/>
      <c r="Z942" s="6"/>
      <c r="AA942" s="6"/>
    </row>
    <row r="943" ht="15.75" customHeight="1">
      <c r="A943" s="59"/>
      <c r="B943" s="59"/>
      <c r="C943" s="59"/>
      <c r="D943" s="59"/>
      <c r="E943" s="59"/>
      <c r="F943" s="59"/>
      <c r="G943" s="59"/>
      <c r="H943" s="59"/>
      <c r="I943" s="59"/>
      <c r="J943" s="59"/>
      <c r="K943" s="59"/>
      <c r="L943" s="59"/>
      <c r="M943" s="59"/>
      <c r="N943" s="59"/>
      <c r="O943" s="7"/>
      <c r="P943" s="6"/>
      <c r="Q943" s="6"/>
      <c r="R943" s="6"/>
      <c r="S943" s="6"/>
      <c r="T943" s="6"/>
      <c r="U943" s="6"/>
      <c r="V943" s="6"/>
      <c r="W943" s="6"/>
      <c r="X943" s="6"/>
      <c r="Y943" s="6"/>
      <c r="Z943" s="6"/>
      <c r="AA943" s="6"/>
    </row>
    <row r="944" ht="15.75" customHeight="1">
      <c r="A944" s="59"/>
      <c r="B944" s="59"/>
      <c r="C944" s="59"/>
      <c r="D944" s="59"/>
      <c r="E944" s="59"/>
      <c r="F944" s="59"/>
      <c r="G944" s="59"/>
      <c r="H944" s="59"/>
      <c r="I944" s="59"/>
      <c r="J944" s="59"/>
      <c r="K944" s="59"/>
      <c r="L944" s="59"/>
      <c r="M944" s="59"/>
      <c r="N944" s="59"/>
      <c r="O944" s="7"/>
      <c r="P944" s="6"/>
      <c r="Q944" s="6"/>
      <c r="R944" s="6"/>
      <c r="S944" s="6"/>
      <c r="T944" s="6"/>
      <c r="U944" s="6"/>
      <c r="V944" s="6"/>
      <c r="W944" s="6"/>
      <c r="X944" s="6"/>
      <c r="Y944" s="6"/>
      <c r="Z944" s="6"/>
      <c r="AA944" s="6"/>
    </row>
    <row r="945" ht="15.75" customHeight="1">
      <c r="A945" s="59"/>
      <c r="B945" s="59"/>
      <c r="C945" s="59"/>
      <c r="D945" s="59"/>
      <c r="E945" s="59"/>
      <c r="F945" s="59"/>
      <c r="G945" s="59"/>
      <c r="H945" s="59"/>
      <c r="I945" s="59"/>
      <c r="J945" s="59"/>
      <c r="K945" s="59"/>
      <c r="L945" s="59"/>
      <c r="M945" s="59"/>
      <c r="N945" s="59"/>
      <c r="O945" s="7"/>
      <c r="P945" s="6"/>
      <c r="Q945" s="6"/>
      <c r="R945" s="6"/>
      <c r="S945" s="6"/>
      <c r="T945" s="6"/>
      <c r="U945" s="6"/>
      <c r="V945" s="6"/>
      <c r="W945" s="6"/>
      <c r="X945" s="6"/>
      <c r="Y945" s="6"/>
      <c r="Z945" s="6"/>
      <c r="AA945" s="6"/>
    </row>
    <row r="946" ht="15.75" customHeight="1">
      <c r="A946" s="59"/>
      <c r="B946" s="59"/>
      <c r="C946" s="59"/>
      <c r="D946" s="59"/>
      <c r="E946" s="59"/>
      <c r="F946" s="59"/>
      <c r="G946" s="59"/>
      <c r="H946" s="59"/>
      <c r="I946" s="59"/>
      <c r="J946" s="59"/>
      <c r="K946" s="59"/>
      <c r="L946" s="59"/>
      <c r="M946" s="59"/>
      <c r="N946" s="59"/>
      <c r="O946" s="7"/>
      <c r="P946" s="6"/>
      <c r="Q946" s="6"/>
      <c r="R946" s="6"/>
      <c r="S946" s="6"/>
      <c r="T946" s="6"/>
      <c r="U946" s="6"/>
      <c r="V946" s="6"/>
      <c r="W946" s="6"/>
      <c r="X946" s="6"/>
      <c r="Y946" s="6"/>
      <c r="Z946" s="6"/>
      <c r="AA946" s="6"/>
    </row>
    <row r="947" ht="15.75" customHeight="1">
      <c r="A947" s="59"/>
      <c r="B947" s="59"/>
      <c r="C947" s="59"/>
      <c r="D947" s="59"/>
      <c r="E947" s="59"/>
      <c r="F947" s="59"/>
      <c r="G947" s="59"/>
      <c r="H947" s="59"/>
      <c r="I947" s="59"/>
      <c r="J947" s="59"/>
      <c r="K947" s="59"/>
      <c r="L947" s="59"/>
      <c r="M947" s="59"/>
      <c r="N947" s="59"/>
      <c r="O947" s="7"/>
      <c r="P947" s="6"/>
      <c r="Q947" s="6"/>
      <c r="R947" s="6"/>
      <c r="S947" s="6"/>
      <c r="T947" s="6"/>
      <c r="U947" s="6"/>
      <c r="V947" s="6"/>
      <c r="W947" s="6"/>
      <c r="X947" s="6"/>
      <c r="Y947" s="6"/>
      <c r="Z947" s="6"/>
      <c r="AA947" s="6"/>
    </row>
    <row r="948" ht="15.75" customHeight="1">
      <c r="A948" s="59"/>
      <c r="B948" s="59"/>
      <c r="C948" s="59"/>
      <c r="D948" s="59"/>
      <c r="E948" s="59"/>
      <c r="F948" s="59"/>
      <c r="G948" s="59"/>
      <c r="H948" s="59"/>
      <c r="I948" s="59"/>
      <c r="J948" s="59"/>
      <c r="K948" s="59"/>
      <c r="L948" s="59"/>
      <c r="M948" s="59"/>
      <c r="N948" s="59"/>
      <c r="O948" s="7"/>
      <c r="P948" s="6"/>
      <c r="Q948" s="6"/>
      <c r="R948" s="6"/>
      <c r="S948" s="6"/>
      <c r="T948" s="6"/>
      <c r="U948" s="6"/>
      <c r="V948" s="6"/>
      <c r="W948" s="6"/>
      <c r="X948" s="6"/>
      <c r="Y948" s="6"/>
      <c r="Z948" s="6"/>
      <c r="AA948" s="6"/>
    </row>
    <row r="949" ht="15.75" customHeight="1">
      <c r="A949" s="59"/>
      <c r="B949" s="59"/>
      <c r="C949" s="59"/>
      <c r="D949" s="59"/>
      <c r="E949" s="59"/>
      <c r="F949" s="59"/>
      <c r="G949" s="59"/>
      <c r="H949" s="59"/>
      <c r="I949" s="59"/>
      <c r="J949" s="59"/>
      <c r="K949" s="59"/>
      <c r="L949" s="59"/>
      <c r="M949" s="59"/>
      <c r="N949" s="59"/>
      <c r="O949" s="7"/>
      <c r="P949" s="6"/>
      <c r="Q949" s="6"/>
      <c r="R949" s="6"/>
      <c r="S949" s="6"/>
      <c r="T949" s="6"/>
      <c r="U949" s="6"/>
      <c r="V949" s="6"/>
      <c r="W949" s="6"/>
      <c r="X949" s="6"/>
      <c r="Y949" s="6"/>
      <c r="Z949" s="6"/>
      <c r="AA949" s="6"/>
    </row>
    <row r="950" ht="15.75" customHeight="1">
      <c r="A950" s="59"/>
      <c r="B950" s="59"/>
      <c r="C950" s="59"/>
      <c r="D950" s="59"/>
      <c r="E950" s="59"/>
      <c r="F950" s="59"/>
      <c r="G950" s="59"/>
      <c r="H950" s="59"/>
      <c r="I950" s="59"/>
      <c r="J950" s="59"/>
      <c r="K950" s="59"/>
      <c r="L950" s="59"/>
      <c r="M950" s="59"/>
      <c r="N950" s="59"/>
      <c r="O950" s="7"/>
      <c r="P950" s="6"/>
      <c r="Q950" s="6"/>
      <c r="R950" s="6"/>
      <c r="S950" s="6"/>
      <c r="T950" s="6"/>
      <c r="U950" s="6"/>
      <c r="V950" s="6"/>
      <c r="W950" s="6"/>
      <c r="X950" s="6"/>
      <c r="Y950" s="6"/>
      <c r="Z950" s="6"/>
      <c r="AA950" s="6"/>
    </row>
    <row r="951" ht="15.75" customHeight="1">
      <c r="A951" s="59"/>
      <c r="B951" s="59"/>
      <c r="C951" s="59"/>
      <c r="D951" s="59"/>
      <c r="E951" s="59"/>
      <c r="F951" s="59"/>
      <c r="G951" s="59"/>
      <c r="H951" s="59"/>
      <c r="I951" s="59"/>
      <c r="J951" s="59"/>
      <c r="K951" s="59"/>
      <c r="L951" s="59"/>
      <c r="M951" s="59"/>
      <c r="N951" s="59"/>
      <c r="O951" s="7"/>
      <c r="P951" s="6"/>
      <c r="Q951" s="6"/>
      <c r="R951" s="6"/>
      <c r="S951" s="6"/>
      <c r="T951" s="6"/>
      <c r="U951" s="6"/>
      <c r="V951" s="6"/>
      <c r="W951" s="6"/>
      <c r="X951" s="6"/>
      <c r="Y951" s="6"/>
      <c r="Z951" s="6"/>
      <c r="AA951" s="6"/>
    </row>
    <row r="952" ht="15.75" customHeight="1">
      <c r="A952" s="59"/>
      <c r="B952" s="59"/>
      <c r="C952" s="59"/>
      <c r="D952" s="59"/>
      <c r="E952" s="59"/>
      <c r="F952" s="59"/>
      <c r="G952" s="59"/>
      <c r="H952" s="59"/>
      <c r="I952" s="59"/>
      <c r="J952" s="59"/>
      <c r="K952" s="59"/>
      <c r="L952" s="59"/>
      <c r="M952" s="59"/>
      <c r="N952" s="59"/>
      <c r="O952" s="7"/>
      <c r="P952" s="6"/>
      <c r="Q952" s="6"/>
      <c r="R952" s="6"/>
      <c r="S952" s="6"/>
      <c r="T952" s="6"/>
      <c r="U952" s="6"/>
      <c r="V952" s="6"/>
      <c r="W952" s="6"/>
      <c r="X952" s="6"/>
      <c r="Y952" s="6"/>
      <c r="Z952" s="6"/>
      <c r="AA952" s="6"/>
    </row>
    <row r="953" ht="15.75" customHeight="1">
      <c r="A953" s="59"/>
      <c r="B953" s="59"/>
      <c r="C953" s="59"/>
      <c r="D953" s="59"/>
      <c r="E953" s="59"/>
      <c r="F953" s="59"/>
      <c r="G953" s="59"/>
      <c r="H953" s="59"/>
      <c r="I953" s="59"/>
      <c r="J953" s="59"/>
      <c r="K953" s="59"/>
      <c r="L953" s="59"/>
      <c r="M953" s="59"/>
      <c r="N953" s="59"/>
      <c r="O953" s="7"/>
      <c r="P953" s="6"/>
      <c r="Q953" s="6"/>
      <c r="R953" s="6"/>
      <c r="S953" s="6"/>
      <c r="T953" s="6"/>
      <c r="U953" s="6"/>
      <c r="V953" s="6"/>
      <c r="W953" s="6"/>
      <c r="X953" s="6"/>
      <c r="Y953" s="6"/>
      <c r="Z953" s="6"/>
      <c r="AA953" s="6"/>
    </row>
    <row r="954" ht="15.75" customHeight="1">
      <c r="A954" s="59"/>
      <c r="B954" s="59"/>
      <c r="C954" s="59"/>
      <c r="D954" s="59"/>
      <c r="E954" s="59"/>
      <c r="F954" s="59"/>
      <c r="G954" s="59"/>
      <c r="H954" s="59"/>
      <c r="I954" s="59"/>
      <c r="J954" s="59"/>
      <c r="K954" s="59"/>
      <c r="L954" s="59"/>
      <c r="M954" s="59"/>
      <c r="N954" s="59"/>
      <c r="O954" s="7"/>
      <c r="P954" s="6"/>
      <c r="Q954" s="6"/>
      <c r="R954" s="6"/>
      <c r="S954" s="6"/>
      <c r="T954" s="6"/>
      <c r="U954" s="6"/>
      <c r="V954" s="6"/>
      <c r="W954" s="6"/>
      <c r="X954" s="6"/>
      <c r="Y954" s="6"/>
      <c r="Z954" s="6"/>
      <c r="AA954" s="6"/>
    </row>
    <row r="955" ht="15.75" customHeight="1">
      <c r="A955" s="59"/>
      <c r="B955" s="59"/>
      <c r="C955" s="59"/>
      <c r="D955" s="59"/>
      <c r="E955" s="59"/>
      <c r="F955" s="59"/>
      <c r="G955" s="59"/>
      <c r="H955" s="59"/>
      <c r="I955" s="59"/>
      <c r="J955" s="59"/>
      <c r="K955" s="59"/>
      <c r="L955" s="59"/>
      <c r="M955" s="59"/>
      <c r="N955" s="59"/>
      <c r="O955" s="7"/>
      <c r="P955" s="6"/>
      <c r="Q955" s="6"/>
      <c r="R955" s="6"/>
      <c r="S955" s="6"/>
      <c r="T955" s="6"/>
      <c r="U955" s="6"/>
      <c r="V955" s="6"/>
      <c r="W955" s="6"/>
      <c r="X955" s="6"/>
      <c r="Y955" s="6"/>
      <c r="Z955" s="6"/>
      <c r="AA955" s="6"/>
    </row>
    <row r="956" ht="15.75" customHeight="1">
      <c r="A956" s="59"/>
      <c r="B956" s="59"/>
      <c r="C956" s="59"/>
      <c r="D956" s="59"/>
      <c r="E956" s="59"/>
      <c r="F956" s="59"/>
      <c r="G956" s="59"/>
      <c r="H956" s="59"/>
      <c r="I956" s="59"/>
      <c r="J956" s="59"/>
      <c r="K956" s="59"/>
      <c r="L956" s="59"/>
      <c r="M956" s="59"/>
      <c r="N956" s="59"/>
      <c r="O956" s="7"/>
      <c r="P956" s="6"/>
      <c r="Q956" s="6"/>
      <c r="R956" s="6"/>
      <c r="S956" s="6"/>
      <c r="T956" s="6"/>
      <c r="U956" s="6"/>
      <c r="V956" s="6"/>
      <c r="W956" s="6"/>
      <c r="X956" s="6"/>
      <c r="Y956" s="6"/>
      <c r="Z956" s="6"/>
      <c r="AA956" s="6"/>
    </row>
    <row r="957" ht="15.75" customHeight="1">
      <c r="A957" s="59"/>
      <c r="B957" s="59"/>
      <c r="C957" s="59"/>
      <c r="D957" s="59"/>
      <c r="E957" s="59"/>
      <c r="F957" s="59"/>
      <c r="G957" s="59"/>
      <c r="H957" s="59"/>
      <c r="I957" s="59"/>
      <c r="J957" s="59"/>
      <c r="K957" s="59"/>
      <c r="L957" s="59"/>
      <c r="M957" s="59"/>
      <c r="N957" s="59"/>
      <c r="O957" s="7"/>
      <c r="P957" s="6"/>
      <c r="Q957" s="6"/>
      <c r="R957" s="6"/>
      <c r="S957" s="6"/>
      <c r="T957" s="6"/>
      <c r="U957" s="6"/>
      <c r="V957" s="6"/>
      <c r="W957" s="6"/>
      <c r="X957" s="6"/>
      <c r="Y957" s="6"/>
      <c r="Z957" s="6"/>
      <c r="AA957" s="6"/>
    </row>
    <row r="958" ht="15.75" customHeight="1">
      <c r="A958" s="59"/>
      <c r="B958" s="59"/>
      <c r="C958" s="59"/>
      <c r="D958" s="59"/>
      <c r="E958" s="59"/>
      <c r="F958" s="59"/>
      <c r="G958" s="59"/>
      <c r="H958" s="59"/>
      <c r="I958" s="59"/>
      <c r="J958" s="59"/>
      <c r="K958" s="59"/>
      <c r="L958" s="59"/>
      <c r="M958" s="59"/>
      <c r="N958" s="59"/>
      <c r="O958" s="7"/>
      <c r="P958" s="6"/>
      <c r="Q958" s="6"/>
      <c r="R958" s="6"/>
      <c r="S958" s="6"/>
      <c r="T958" s="6"/>
      <c r="U958" s="6"/>
      <c r="V958" s="6"/>
      <c r="W958" s="6"/>
      <c r="X958" s="6"/>
      <c r="Y958" s="6"/>
      <c r="Z958" s="6"/>
      <c r="AA958" s="6"/>
    </row>
    <row r="959" ht="15.75" customHeight="1">
      <c r="A959" s="59"/>
      <c r="B959" s="59"/>
      <c r="C959" s="59"/>
      <c r="D959" s="59"/>
      <c r="E959" s="59"/>
      <c r="F959" s="59"/>
      <c r="G959" s="59"/>
      <c r="H959" s="59"/>
      <c r="I959" s="59"/>
      <c r="J959" s="59"/>
      <c r="K959" s="59"/>
      <c r="L959" s="59"/>
      <c r="M959" s="59"/>
      <c r="N959" s="59"/>
      <c r="O959" s="7"/>
      <c r="P959" s="6"/>
      <c r="Q959" s="6"/>
      <c r="R959" s="6"/>
      <c r="S959" s="6"/>
      <c r="T959" s="6"/>
      <c r="U959" s="6"/>
      <c r="V959" s="6"/>
      <c r="W959" s="6"/>
      <c r="X959" s="6"/>
      <c r="Y959" s="6"/>
      <c r="Z959" s="6"/>
      <c r="AA959" s="6"/>
    </row>
    <row r="960" ht="15.75" customHeight="1">
      <c r="A960" s="59"/>
      <c r="B960" s="59"/>
      <c r="C960" s="59"/>
      <c r="D960" s="59"/>
      <c r="E960" s="59"/>
      <c r="F960" s="59"/>
      <c r="G960" s="59"/>
      <c r="H960" s="59"/>
      <c r="I960" s="59"/>
      <c r="J960" s="59"/>
      <c r="K960" s="59"/>
      <c r="L960" s="59"/>
      <c r="M960" s="59"/>
      <c r="N960" s="59"/>
      <c r="O960" s="7"/>
      <c r="P960" s="6"/>
      <c r="Q960" s="6"/>
      <c r="R960" s="6"/>
      <c r="S960" s="6"/>
      <c r="T960" s="6"/>
      <c r="U960" s="6"/>
      <c r="V960" s="6"/>
      <c r="W960" s="6"/>
      <c r="X960" s="6"/>
      <c r="Y960" s="6"/>
      <c r="Z960" s="6"/>
      <c r="AA960" s="6"/>
    </row>
    <row r="961" ht="15.75" customHeight="1">
      <c r="A961" s="59"/>
      <c r="B961" s="59"/>
      <c r="C961" s="59"/>
      <c r="D961" s="59"/>
      <c r="E961" s="59"/>
      <c r="F961" s="59"/>
      <c r="G961" s="59"/>
      <c r="H961" s="59"/>
      <c r="I961" s="59"/>
      <c r="J961" s="59"/>
      <c r="K961" s="59"/>
      <c r="L961" s="59"/>
      <c r="M961" s="59"/>
      <c r="N961" s="59"/>
      <c r="O961" s="7"/>
      <c r="P961" s="6"/>
      <c r="Q961" s="6"/>
      <c r="R961" s="6"/>
      <c r="S961" s="6"/>
      <c r="T961" s="6"/>
      <c r="U961" s="6"/>
      <c r="V961" s="6"/>
      <c r="W961" s="6"/>
      <c r="X961" s="6"/>
      <c r="Y961" s="6"/>
      <c r="Z961" s="6"/>
      <c r="AA961" s="6"/>
    </row>
    <row r="962" ht="15.75" customHeight="1">
      <c r="A962" s="59"/>
      <c r="B962" s="59"/>
      <c r="C962" s="59"/>
      <c r="D962" s="59"/>
      <c r="E962" s="59"/>
      <c r="F962" s="59"/>
      <c r="G962" s="59"/>
      <c r="H962" s="59"/>
      <c r="I962" s="59"/>
      <c r="J962" s="59"/>
      <c r="K962" s="59"/>
      <c r="L962" s="59"/>
      <c r="M962" s="59"/>
      <c r="N962" s="59"/>
      <c r="O962" s="7"/>
      <c r="P962" s="6"/>
      <c r="Q962" s="6"/>
      <c r="R962" s="6"/>
      <c r="S962" s="6"/>
      <c r="T962" s="6"/>
      <c r="U962" s="6"/>
      <c r="V962" s="6"/>
      <c r="W962" s="6"/>
      <c r="X962" s="6"/>
      <c r="Y962" s="6"/>
      <c r="Z962" s="6"/>
      <c r="AA962" s="6"/>
    </row>
    <row r="963" ht="15.75" customHeight="1">
      <c r="A963" s="59"/>
      <c r="B963" s="59"/>
      <c r="C963" s="59"/>
      <c r="D963" s="59"/>
      <c r="E963" s="59"/>
      <c r="F963" s="59"/>
      <c r="G963" s="59"/>
      <c r="H963" s="59"/>
      <c r="I963" s="59"/>
      <c r="J963" s="59"/>
      <c r="K963" s="59"/>
      <c r="L963" s="59"/>
      <c r="M963" s="59"/>
      <c r="N963" s="59"/>
      <c r="O963" s="7"/>
      <c r="P963" s="6"/>
      <c r="Q963" s="6"/>
      <c r="R963" s="6"/>
      <c r="S963" s="6"/>
      <c r="T963" s="6"/>
      <c r="U963" s="6"/>
      <c r="V963" s="6"/>
      <c r="W963" s="6"/>
      <c r="X963" s="6"/>
      <c r="Y963" s="6"/>
      <c r="Z963" s="6"/>
      <c r="AA963" s="6"/>
    </row>
    <row r="964" ht="15.75" customHeight="1">
      <c r="A964" s="59"/>
      <c r="B964" s="59"/>
      <c r="C964" s="59"/>
      <c r="D964" s="59"/>
      <c r="E964" s="59"/>
      <c r="F964" s="59"/>
      <c r="G964" s="59"/>
      <c r="H964" s="59"/>
      <c r="I964" s="59"/>
      <c r="J964" s="59"/>
      <c r="K964" s="59"/>
      <c r="L964" s="59"/>
      <c r="M964" s="59"/>
      <c r="N964" s="59"/>
      <c r="O964" s="7"/>
      <c r="P964" s="6"/>
      <c r="Q964" s="6"/>
      <c r="R964" s="6"/>
      <c r="S964" s="6"/>
      <c r="T964" s="6"/>
      <c r="U964" s="6"/>
      <c r="V964" s="6"/>
      <c r="W964" s="6"/>
      <c r="X964" s="6"/>
      <c r="Y964" s="6"/>
      <c r="Z964" s="6"/>
      <c r="AA964" s="6"/>
    </row>
    <row r="965" ht="15.75" customHeight="1">
      <c r="A965" s="59"/>
      <c r="B965" s="59"/>
      <c r="C965" s="59"/>
      <c r="D965" s="59"/>
      <c r="E965" s="59"/>
      <c r="F965" s="59"/>
      <c r="G965" s="59"/>
      <c r="H965" s="59"/>
      <c r="I965" s="59"/>
      <c r="J965" s="59"/>
      <c r="K965" s="59"/>
      <c r="L965" s="59"/>
      <c r="M965" s="59"/>
      <c r="N965" s="59"/>
      <c r="O965" s="7"/>
      <c r="P965" s="6"/>
      <c r="Q965" s="6"/>
      <c r="R965" s="6"/>
      <c r="S965" s="6"/>
      <c r="T965" s="6"/>
      <c r="U965" s="6"/>
      <c r="V965" s="6"/>
      <c r="W965" s="6"/>
      <c r="X965" s="6"/>
      <c r="Y965" s="6"/>
      <c r="Z965" s="6"/>
      <c r="AA965" s="6"/>
    </row>
    <row r="966" ht="15.75" customHeight="1">
      <c r="A966" s="59"/>
      <c r="B966" s="59"/>
      <c r="C966" s="59"/>
      <c r="D966" s="59"/>
      <c r="E966" s="59"/>
      <c r="F966" s="59"/>
      <c r="G966" s="59"/>
      <c r="H966" s="59"/>
      <c r="I966" s="59"/>
      <c r="J966" s="59"/>
      <c r="K966" s="59"/>
      <c r="L966" s="59"/>
      <c r="M966" s="59"/>
      <c r="N966" s="59"/>
      <c r="O966" s="7"/>
      <c r="P966" s="6"/>
      <c r="Q966" s="6"/>
      <c r="R966" s="6"/>
      <c r="S966" s="6"/>
      <c r="T966" s="6"/>
      <c r="U966" s="6"/>
      <c r="V966" s="6"/>
      <c r="W966" s="6"/>
      <c r="X966" s="6"/>
      <c r="Y966" s="6"/>
      <c r="Z966" s="6"/>
      <c r="AA966" s="6"/>
    </row>
    <row r="967" ht="15.75" customHeight="1">
      <c r="A967" s="59"/>
      <c r="B967" s="59"/>
      <c r="C967" s="59"/>
      <c r="D967" s="59"/>
      <c r="E967" s="59"/>
      <c r="F967" s="59"/>
      <c r="G967" s="59"/>
      <c r="H967" s="59"/>
      <c r="I967" s="59"/>
      <c r="J967" s="59"/>
      <c r="K967" s="59"/>
      <c r="L967" s="59"/>
      <c r="M967" s="59"/>
      <c r="N967" s="59"/>
      <c r="O967" s="7"/>
      <c r="P967" s="6"/>
      <c r="Q967" s="6"/>
      <c r="R967" s="6"/>
      <c r="S967" s="6"/>
      <c r="T967" s="6"/>
      <c r="U967" s="6"/>
      <c r="V967" s="6"/>
      <c r="W967" s="6"/>
      <c r="X967" s="6"/>
      <c r="Y967" s="6"/>
      <c r="Z967" s="6"/>
      <c r="AA967" s="6"/>
    </row>
    <row r="968" ht="15.75" customHeight="1">
      <c r="A968" s="59"/>
      <c r="B968" s="59"/>
      <c r="C968" s="59"/>
      <c r="D968" s="59"/>
      <c r="E968" s="59"/>
      <c r="F968" s="59"/>
      <c r="G968" s="59"/>
      <c r="H968" s="59"/>
      <c r="I968" s="59"/>
      <c r="J968" s="59"/>
      <c r="K968" s="59"/>
      <c r="L968" s="59"/>
      <c r="M968" s="59"/>
      <c r="N968" s="59"/>
      <c r="O968" s="7"/>
      <c r="P968" s="6"/>
      <c r="Q968" s="6"/>
      <c r="R968" s="6"/>
      <c r="S968" s="6"/>
      <c r="T968" s="6"/>
      <c r="U968" s="6"/>
      <c r="V968" s="6"/>
      <c r="W968" s="6"/>
      <c r="X968" s="6"/>
      <c r="Y968" s="6"/>
      <c r="Z968" s="6"/>
      <c r="AA968" s="6"/>
    </row>
    <row r="969" ht="15.75" customHeight="1">
      <c r="A969" s="59"/>
      <c r="B969" s="59"/>
      <c r="C969" s="59"/>
      <c r="D969" s="59"/>
      <c r="E969" s="59"/>
      <c r="F969" s="59"/>
      <c r="G969" s="59"/>
      <c r="H969" s="59"/>
      <c r="I969" s="59"/>
      <c r="J969" s="59"/>
      <c r="K969" s="59"/>
      <c r="L969" s="59"/>
      <c r="M969" s="59"/>
      <c r="N969" s="59"/>
      <c r="O969" s="7"/>
      <c r="P969" s="6"/>
      <c r="Q969" s="6"/>
      <c r="R969" s="6"/>
      <c r="S969" s="6"/>
      <c r="T969" s="6"/>
      <c r="U969" s="6"/>
      <c r="V969" s="6"/>
      <c r="W969" s="6"/>
      <c r="X969" s="6"/>
      <c r="Y969" s="6"/>
      <c r="Z969" s="6"/>
      <c r="AA969" s="6"/>
    </row>
    <row r="970" ht="15.75" customHeight="1">
      <c r="A970" s="59"/>
      <c r="B970" s="59"/>
      <c r="C970" s="59"/>
      <c r="D970" s="59"/>
      <c r="E970" s="59"/>
      <c r="F970" s="59"/>
      <c r="G970" s="59"/>
      <c r="H970" s="59"/>
      <c r="I970" s="59"/>
      <c r="J970" s="59"/>
      <c r="K970" s="59"/>
      <c r="L970" s="59"/>
      <c r="M970" s="59"/>
      <c r="N970" s="59"/>
      <c r="O970" s="7"/>
      <c r="P970" s="6"/>
      <c r="Q970" s="6"/>
      <c r="R970" s="6"/>
      <c r="S970" s="6"/>
      <c r="T970" s="6"/>
      <c r="U970" s="6"/>
      <c r="V970" s="6"/>
      <c r="W970" s="6"/>
      <c r="X970" s="6"/>
      <c r="Y970" s="6"/>
      <c r="Z970" s="6"/>
      <c r="AA970" s="6"/>
    </row>
    <row r="971" ht="15.75" customHeight="1">
      <c r="A971" s="59"/>
      <c r="B971" s="59"/>
      <c r="C971" s="59"/>
      <c r="D971" s="59"/>
      <c r="E971" s="59"/>
      <c r="F971" s="59"/>
      <c r="G971" s="59"/>
      <c r="H971" s="59"/>
      <c r="I971" s="59"/>
      <c r="J971" s="59"/>
      <c r="K971" s="59"/>
      <c r="L971" s="59"/>
      <c r="M971" s="59"/>
      <c r="N971" s="59"/>
      <c r="O971" s="7"/>
      <c r="P971" s="6"/>
      <c r="Q971" s="6"/>
      <c r="R971" s="6"/>
      <c r="S971" s="6"/>
      <c r="T971" s="6"/>
      <c r="U971" s="6"/>
      <c r="V971" s="6"/>
      <c r="W971" s="6"/>
      <c r="X971" s="6"/>
      <c r="Y971" s="6"/>
      <c r="Z971" s="6"/>
      <c r="AA971" s="6"/>
    </row>
    <row r="972" ht="15.75" customHeight="1">
      <c r="A972" s="59"/>
      <c r="B972" s="59"/>
      <c r="C972" s="59"/>
      <c r="D972" s="59"/>
      <c r="E972" s="59"/>
      <c r="F972" s="59"/>
      <c r="G972" s="59"/>
      <c r="H972" s="59"/>
      <c r="I972" s="59"/>
      <c r="J972" s="59"/>
      <c r="K972" s="59"/>
      <c r="L972" s="59"/>
      <c r="M972" s="59"/>
      <c r="N972" s="59"/>
      <c r="O972" s="7"/>
      <c r="P972" s="6"/>
      <c r="Q972" s="6"/>
      <c r="R972" s="6"/>
      <c r="S972" s="6"/>
      <c r="T972" s="6"/>
      <c r="U972" s="6"/>
      <c r="V972" s="6"/>
      <c r="W972" s="6"/>
      <c r="X972" s="6"/>
      <c r="Y972" s="6"/>
      <c r="Z972" s="6"/>
      <c r="AA972" s="6"/>
    </row>
    <row r="973" ht="15.75" customHeight="1">
      <c r="A973" s="59"/>
      <c r="B973" s="59"/>
      <c r="C973" s="59"/>
      <c r="D973" s="59"/>
      <c r="E973" s="59"/>
      <c r="F973" s="59"/>
      <c r="G973" s="59"/>
      <c r="H973" s="59"/>
      <c r="I973" s="59"/>
      <c r="J973" s="59"/>
      <c r="K973" s="59"/>
      <c r="L973" s="59"/>
      <c r="M973" s="59"/>
      <c r="N973" s="59"/>
      <c r="O973" s="7"/>
      <c r="P973" s="6"/>
      <c r="Q973" s="6"/>
      <c r="R973" s="6"/>
      <c r="S973" s="6"/>
      <c r="T973" s="6"/>
      <c r="U973" s="6"/>
      <c r="V973" s="6"/>
      <c r="W973" s="6"/>
      <c r="X973" s="6"/>
      <c r="Y973" s="6"/>
      <c r="Z973" s="6"/>
      <c r="AA973" s="6"/>
    </row>
    <row r="974" ht="15.75" customHeight="1">
      <c r="A974" s="59"/>
      <c r="B974" s="59"/>
      <c r="C974" s="59"/>
      <c r="D974" s="59"/>
      <c r="E974" s="59"/>
      <c r="F974" s="59"/>
      <c r="G974" s="59"/>
      <c r="H974" s="59"/>
      <c r="I974" s="59"/>
      <c r="J974" s="59"/>
      <c r="K974" s="59"/>
      <c r="L974" s="59"/>
      <c r="M974" s="59"/>
      <c r="N974" s="59"/>
      <c r="O974" s="7"/>
      <c r="P974" s="6"/>
      <c r="Q974" s="6"/>
      <c r="R974" s="6"/>
      <c r="S974" s="6"/>
      <c r="T974" s="6"/>
      <c r="U974" s="6"/>
      <c r="V974" s="6"/>
      <c r="W974" s="6"/>
      <c r="X974" s="6"/>
      <c r="Y974" s="6"/>
      <c r="Z974" s="6"/>
      <c r="AA974" s="6"/>
    </row>
    <row r="975" ht="15.75" customHeight="1">
      <c r="A975" s="59"/>
      <c r="B975" s="59"/>
      <c r="C975" s="59"/>
      <c r="D975" s="59"/>
      <c r="E975" s="59"/>
      <c r="F975" s="59"/>
      <c r="G975" s="59"/>
      <c r="H975" s="59"/>
      <c r="I975" s="59"/>
      <c r="J975" s="59"/>
      <c r="K975" s="59"/>
      <c r="L975" s="59"/>
      <c r="M975" s="59"/>
      <c r="N975" s="59"/>
      <c r="O975" s="7"/>
      <c r="P975" s="6"/>
      <c r="Q975" s="6"/>
      <c r="R975" s="6"/>
      <c r="S975" s="6"/>
      <c r="T975" s="6"/>
      <c r="U975" s="6"/>
      <c r="V975" s="6"/>
      <c r="W975" s="6"/>
      <c r="X975" s="6"/>
      <c r="Y975" s="6"/>
      <c r="Z975" s="6"/>
      <c r="AA975" s="6"/>
    </row>
    <row r="976" ht="15.75" customHeight="1">
      <c r="A976" s="59"/>
      <c r="B976" s="59"/>
      <c r="C976" s="59"/>
      <c r="D976" s="59"/>
      <c r="E976" s="59"/>
      <c r="F976" s="59"/>
      <c r="G976" s="59"/>
      <c r="H976" s="59"/>
      <c r="I976" s="59"/>
      <c r="J976" s="59"/>
      <c r="K976" s="59"/>
      <c r="L976" s="59"/>
      <c r="M976" s="59"/>
      <c r="N976" s="59"/>
      <c r="O976" s="7"/>
      <c r="P976" s="6"/>
      <c r="Q976" s="6"/>
      <c r="R976" s="6"/>
      <c r="S976" s="6"/>
      <c r="T976" s="6"/>
      <c r="U976" s="6"/>
      <c r="V976" s="6"/>
      <c r="W976" s="6"/>
      <c r="X976" s="6"/>
      <c r="Y976" s="6"/>
      <c r="Z976" s="6"/>
      <c r="AA976" s="6"/>
    </row>
    <row r="977" ht="15.75" customHeight="1">
      <c r="A977" s="59"/>
      <c r="B977" s="59"/>
      <c r="C977" s="59"/>
      <c r="D977" s="59"/>
      <c r="E977" s="59"/>
      <c r="F977" s="59"/>
      <c r="G977" s="59"/>
      <c r="H977" s="59"/>
      <c r="I977" s="59"/>
      <c r="J977" s="59"/>
      <c r="K977" s="59"/>
      <c r="L977" s="59"/>
      <c r="M977" s="59"/>
      <c r="N977" s="59"/>
      <c r="O977" s="7"/>
      <c r="P977" s="6"/>
      <c r="Q977" s="6"/>
      <c r="R977" s="6"/>
      <c r="S977" s="6"/>
      <c r="T977" s="6"/>
      <c r="U977" s="6"/>
      <c r="V977" s="6"/>
      <c r="W977" s="6"/>
      <c r="X977" s="6"/>
      <c r="Y977" s="6"/>
      <c r="Z977" s="6"/>
      <c r="AA977" s="6"/>
    </row>
    <row r="978" ht="15.75" customHeight="1">
      <c r="A978" s="59"/>
      <c r="B978" s="59"/>
      <c r="C978" s="59"/>
      <c r="D978" s="59"/>
      <c r="E978" s="59"/>
      <c r="F978" s="59"/>
      <c r="G978" s="59"/>
      <c r="H978" s="59"/>
      <c r="I978" s="59"/>
      <c r="J978" s="59"/>
      <c r="K978" s="59"/>
      <c r="L978" s="59"/>
      <c r="M978" s="59"/>
      <c r="N978" s="59"/>
      <c r="O978" s="7"/>
      <c r="P978" s="6"/>
      <c r="Q978" s="6"/>
      <c r="R978" s="6"/>
      <c r="S978" s="6"/>
      <c r="T978" s="6"/>
      <c r="U978" s="6"/>
      <c r="V978" s="6"/>
      <c r="W978" s="6"/>
      <c r="X978" s="6"/>
      <c r="Y978" s="6"/>
      <c r="Z978" s="6"/>
      <c r="AA978" s="6"/>
    </row>
    <row r="979" ht="15.75" customHeight="1">
      <c r="A979" s="59"/>
      <c r="B979" s="59"/>
      <c r="C979" s="59"/>
      <c r="D979" s="59"/>
      <c r="E979" s="59"/>
      <c r="F979" s="59"/>
      <c r="G979" s="59"/>
      <c r="H979" s="59"/>
      <c r="I979" s="59"/>
      <c r="J979" s="59"/>
      <c r="K979" s="59"/>
      <c r="L979" s="59"/>
      <c r="M979" s="59"/>
      <c r="N979" s="59"/>
      <c r="O979" s="7"/>
      <c r="P979" s="6"/>
      <c r="Q979" s="6"/>
      <c r="R979" s="6"/>
      <c r="S979" s="6"/>
      <c r="T979" s="6"/>
      <c r="U979" s="6"/>
      <c r="V979" s="6"/>
      <c r="W979" s="6"/>
      <c r="X979" s="6"/>
      <c r="Y979" s="6"/>
      <c r="Z979" s="6"/>
      <c r="AA979" s="6"/>
    </row>
    <row r="980" ht="15.75" customHeight="1">
      <c r="A980" s="59"/>
      <c r="B980" s="59"/>
      <c r="C980" s="59"/>
      <c r="D980" s="59"/>
      <c r="E980" s="59"/>
      <c r="F980" s="59"/>
      <c r="G980" s="59"/>
      <c r="H980" s="59"/>
      <c r="I980" s="59"/>
      <c r="J980" s="59"/>
      <c r="K980" s="59"/>
      <c r="L980" s="59"/>
      <c r="M980" s="59"/>
      <c r="N980" s="59"/>
      <c r="O980" s="7"/>
      <c r="P980" s="6"/>
      <c r="Q980" s="6"/>
      <c r="R980" s="6"/>
      <c r="S980" s="6"/>
      <c r="T980" s="6"/>
      <c r="U980" s="6"/>
      <c r="V980" s="6"/>
      <c r="W980" s="6"/>
      <c r="X980" s="6"/>
      <c r="Y980" s="6"/>
      <c r="Z980" s="6"/>
      <c r="AA980" s="6"/>
    </row>
    <row r="981" ht="15.75" customHeight="1">
      <c r="A981" s="59"/>
      <c r="B981" s="59"/>
      <c r="C981" s="59"/>
      <c r="D981" s="59"/>
      <c r="E981" s="59"/>
      <c r="F981" s="59"/>
      <c r="G981" s="59"/>
      <c r="H981" s="59"/>
      <c r="I981" s="59"/>
      <c r="J981" s="59"/>
      <c r="K981" s="59"/>
      <c r="L981" s="59"/>
      <c r="M981" s="59"/>
      <c r="N981" s="59"/>
      <c r="O981" s="7"/>
      <c r="P981" s="6"/>
      <c r="Q981" s="6"/>
      <c r="R981" s="6"/>
      <c r="S981" s="6"/>
      <c r="T981" s="6"/>
      <c r="U981" s="6"/>
      <c r="V981" s="6"/>
      <c r="W981" s="6"/>
      <c r="X981" s="6"/>
      <c r="Y981" s="6"/>
      <c r="Z981" s="6"/>
      <c r="AA981" s="6"/>
    </row>
    <row r="982" ht="15.75" customHeight="1">
      <c r="A982" s="59"/>
      <c r="B982" s="59"/>
      <c r="C982" s="59"/>
      <c r="D982" s="59"/>
      <c r="E982" s="59"/>
      <c r="F982" s="59"/>
      <c r="G982" s="59"/>
      <c r="H982" s="59"/>
      <c r="I982" s="59"/>
      <c r="J982" s="59"/>
      <c r="K982" s="59"/>
      <c r="L982" s="59"/>
      <c r="M982" s="59"/>
      <c r="N982" s="59"/>
      <c r="O982" s="7"/>
      <c r="P982" s="6"/>
      <c r="Q982" s="6"/>
      <c r="R982" s="6"/>
      <c r="S982" s="6"/>
      <c r="T982" s="6"/>
      <c r="U982" s="6"/>
      <c r="V982" s="6"/>
      <c r="W982" s="6"/>
      <c r="X982" s="6"/>
      <c r="Y982" s="6"/>
      <c r="Z982" s="6"/>
      <c r="AA982" s="6"/>
    </row>
    <row r="983" ht="15.75" customHeight="1">
      <c r="A983" s="59"/>
      <c r="B983" s="59"/>
      <c r="C983" s="59"/>
      <c r="D983" s="59"/>
      <c r="E983" s="59"/>
      <c r="F983" s="59"/>
      <c r="G983" s="59"/>
      <c r="H983" s="59"/>
      <c r="I983" s="59"/>
      <c r="J983" s="59"/>
      <c r="K983" s="59"/>
      <c r="L983" s="59"/>
      <c r="M983" s="59"/>
      <c r="N983" s="59"/>
      <c r="O983" s="7"/>
      <c r="P983" s="6"/>
      <c r="Q983" s="6"/>
      <c r="R983" s="6"/>
      <c r="S983" s="6"/>
      <c r="T983" s="6"/>
      <c r="U983" s="6"/>
      <c r="V983" s="6"/>
      <c r="W983" s="6"/>
      <c r="X983" s="6"/>
      <c r="Y983" s="6"/>
      <c r="Z983" s="6"/>
      <c r="AA983" s="6"/>
    </row>
    <row r="984" ht="15.75" customHeight="1">
      <c r="A984" s="59"/>
      <c r="B984" s="59"/>
      <c r="C984" s="59"/>
      <c r="D984" s="59"/>
      <c r="E984" s="59"/>
      <c r="F984" s="59"/>
      <c r="G984" s="59"/>
      <c r="H984" s="59"/>
      <c r="I984" s="59"/>
      <c r="J984" s="59"/>
      <c r="K984" s="59"/>
      <c r="L984" s="59"/>
      <c r="M984" s="59"/>
      <c r="N984" s="59"/>
      <c r="O984" s="7"/>
      <c r="P984" s="6"/>
      <c r="Q984" s="6"/>
      <c r="R984" s="6"/>
      <c r="S984" s="6"/>
      <c r="T984" s="6"/>
      <c r="U984" s="6"/>
      <c r="V984" s="6"/>
      <c r="W984" s="6"/>
      <c r="X984" s="6"/>
      <c r="Y984" s="6"/>
      <c r="Z984" s="6"/>
      <c r="AA984" s="6"/>
    </row>
    <row r="985" ht="15.75" customHeight="1">
      <c r="A985" s="59"/>
      <c r="B985" s="59"/>
      <c r="C985" s="59"/>
      <c r="D985" s="59"/>
      <c r="E985" s="59"/>
      <c r="F985" s="59"/>
      <c r="G985" s="59"/>
      <c r="H985" s="59"/>
      <c r="I985" s="59"/>
      <c r="J985" s="59"/>
      <c r="K985" s="59"/>
      <c r="L985" s="59"/>
      <c r="M985" s="59"/>
      <c r="N985" s="59"/>
      <c r="O985" s="7"/>
      <c r="P985" s="6"/>
      <c r="Q985" s="6"/>
      <c r="R985" s="6"/>
      <c r="S985" s="6"/>
      <c r="T985" s="6"/>
      <c r="U985" s="6"/>
      <c r="V985" s="6"/>
      <c r="W985" s="6"/>
      <c r="X985" s="6"/>
      <c r="Y985" s="6"/>
      <c r="Z985" s="6"/>
      <c r="AA985" s="6"/>
    </row>
    <row r="986" ht="15.75" customHeight="1">
      <c r="A986" s="59"/>
      <c r="B986" s="59"/>
      <c r="C986" s="59"/>
      <c r="D986" s="59"/>
      <c r="E986" s="59"/>
      <c r="F986" s="59"/>
      <c r="G986" s="59"/>
      <c r="H986" s="59"/>
      <c r="I986" s="59"/>
      <c r="J986" s="59"/>
      <c r="K986" s="59"/>
      <c r="L986" s="59"/>
      <c r="M986" s="59"/>
      <c r="N986" s="59"/>
      <c r="O986" s="7"/>
      <c r="P986" s="6"/>
      <c r="Q986" s="6"/>
      <c r="R986" s="6"/>
      <c r="S986" s="6"/>
      <c r="T986" s="6"/>
      <c r="U986" s="6"/>
      <c r="V986" s="6"/>
      <c r="W986" s="6"/>
      <c r="X986" s="6"/>
      <c r="Y986" s="6"/>
      <c r="Z986" s="6"/>
      <c r="AA986" s="6"/>
    </row>
    <row r="987" ht="15.75" customHeight="1">
      <c r="A987" s="59"/>
      <c r="B987" s="59"/>
      <c r="C987" s="59"/>
      <c r="D987" s="59"/>
      <c r="E987" s="59"/>
      <c r="F987" s="59"/>
      <c r="G987" s="59"/>
      <c r="H987" s="59"/>
      <c r="I987" s="59"/>
      <c r="J987" s="59"/>
      <c r="K987" s="59"/>
      <c r="L987" s="59"/>
      <c r="M987" s="59"/>
      <c r="N987" s="59"/>
      <c r="O987" s="7"/>
      <c r="P987" s="6"/>
      <c r="Q987" s="6"/>
      <c r="R987" s="6"/>
      <c r="S987" s="6"/>
      <c r="T987" s="6"/>
      <c r="U987" s="6"/>
      <c r="V987" s="6"/>
      <c r="W987" s="6"/>
      <c r="X987" s="6"/>
      <c r="Y987" s="6"/>
      <c r="Z987" s="6"/>
      <c r="AA987" s="6"/>
    </row>
    <row r="988" ht="15.75" customHeight="1">
      <c r="A988" s="59"/>
      <c r="B988" s="59"/>
      <c r="C988" s="59"/>
      <c r="D988" s="59"/>
      <c r="E988" s="59"/>
      <c r="F988" s="59"/>
      <c r="G988" s="59"/>
      <c r="H988" s="59"/>
      <c r="I988" s="59"/>
      <c r="J988" s="59"/>
      <c r="K988" s="59"/>
      <c r="L988" s="59"/>
      <c r="M988" s="59"/>
      <c r="N988" s="59"/>
      <c r="O988" s="7"/>
      <c r="P988" s="6"/>
      <c r="Q988" s="6"/>
      <c r="R988" s="6"/>
      <c r="S988" s="6"/>
      <c r="T988" s="6"/>
      <c r="U988" s="6"/>
      <c r="V988" s="6"/>
      <c r="W988" s="6"/>
      <c r="X988" s="6"/>
      <c r="Y988" s="6"/>
      <c r="Z988" s="6"/>
      <c r="AA988" s="6"/>
    </row>
    <row r="989" ht="15.75" customHeight="1">
      <c r="A989" s="59"/>
      <c r="B989" s="59"/>
      <c r="C989" s="59"/>
      <c r="D989" s="59"/>
      <c r="E989" s="59"/>
      <c r="F989" s="59"/>
      <c r="G989" s="59"/>
      <c r="H989" s="59"/>
      <c r="I989" s="59"/>
      <c r="J989" s="59"/>
      <c r="K989" s="59"/>
      <c r="L989" s="59"/>
      <c r="M989" s="59"/>
      <c r="N989" s="59"/>
      <c r="O989" s="7"/>
      <c r="P989" s="6"/>
      <c r="Q989" s="6"/>
      <c r="R989" s="6"/>
      <c r="S989" s="6"/>
      <c r="T989" s="6"/>
      <c r="U989" s="6"/>
      <c r="V989" s="6"/>
      <c r="W989" s="6"/>
      <c r="X989" s="6"/>
      <c r="Y989" s="6"/>
      <c r="Z989" s="6"/>
      <c r="AA989" s="6"/>
    </row>
    <row r="990" ht="15.75" customHeight="1">
      <c r="A990" s="59"/>
      <c r="B990" s="59"/>
      <c r="C990" s="59"/>
      <c r="D990" s="59"/>
      <c r="E990" s="59"/>
      <c r="F990" s="59"/>
      <c r="G990" s="59"/>
      <c r="H990" s="59"/>
      <c r="I990" s="59"/>
      <c r="J990" s="59"/>
      <c r="K990" s="59"/>
      <c r="L990" s="59"/>
      <c r="M990" s="59"/>
      <c r="N990" s="59"/>
      <c r="O990" s="7"/>
      <c r="P990" s="6"/>
      <c r="Q990" s="6"/>
      <c r="R990" s="6"/>
      <c r="S990" s="6"/>
      <c r="T990" s="6"/>
      <c r="U990" s="6"/>
      <c r="V990" s="6"/>
      <c r="W990" s="6"/>
      <c r="X990" s="6"/>
      <c r="Y990" s="6"/>
      <c r="Z990" s="6"/>
      <c r="AA990" s="6"/>
    </row>
    <row r="991" ht="15.75" customHeight="1">
      <c r="A991" s="59"/>
      <c r="B991" s="59"/>
      <c r="C991" s="59"/>
      <c r="D991" s="59"/>
      <c r="E991" s="59"/>
      <c r="F991" s="59"/>
      <c r="G991" s="59"/>
      <c r="H991" s="59"/>
      <c r="I991" s="59"/>
      <c r="J991" s="59"/>
      <c r="K991" s="59"/>
      <c r="L991" s="59"/>
      <c r="M991" s="59"/>
      <c r="N991" s="59"/>
      <c r="O991" s="7"/>
      <c r="P991" s="6"/>
      <c r="Q991" s="6"/>
      <c r="R991" s="6"/>
      <c r="S991" s="6"/>
      <c r="T991" s="6"/>
      <c r="U991" s="6"/>
      <c r="V991" s="6"/>
      <c r="W991" s="6"/>
      <c r="X991" s="6"/>
      <c r="Y991" s="6"/>
      <c r="Z991" s="6"/>
      <c r="AA991" s="6"/>
    </row>
    <row r="992" ht="15.75" customHeight="1">
      <c r="A992" s="59"/>
      <c r="B992" s="59"/>
      <c r="C992" s="59"/>
      <c r="D992" s="59"/>
      <c r="E992" s="59"/>
      <c r="F992" s="59"/>
      <c r="G992" s="59"/>
      <c r="H992" s="59"/>
      <c r="I992" s="59"/>
      <c r="J992" s="59"/>
      <c r="K992" s="59"/>
      <c r="L992" s="59"/>
      <c r="M992" s="59"/>
      <c r="N992" s="59"/>
      <c r="O992" s="7"/>
      <c r="P992" s="6"/>
      <c r="Q992" s="6"/>
      <c r="R992" s="6"/>
      <c r="S992" s="6"/>
      <c r="T992" s="6"/>
      <c r="U992" s="6"/>
      <c r="V992" s="6"/>
      <c r="W992" s="6"/>
      <c r="X992" s="6"/>
      <c r="Y992" s="6"/>
      <c r="Z992" s="6"/>
      <c r="AA992" s="6"/>
    </row>
    <row r="993" ht="15.75" customHeight="1">
      <c r="A993" s="59"/>
      <c r="B993" s="59"/>
      <c r="C993" s="59"/>
      <c r="D993" s="59"/>
      <c r="E993" s="59"/>
      <c r="F993" s="59"/>
      <c r="G993" s="59"/>
      <c r="H993" s="59"/>
      <c r="I993" s="59"/>
      <c r="J993" s="59"/>
      <c r="K993" s="59"/>
      <c r="L993" s="59"/>
      <c r="M993" s="59"/>
      <c r="N993" s="59"/>
      <c r="O993" s="7"/>
      <c r="P993" s="6"/>
      <c r="Q993" s="6"/>
      <c r="R993" s="6"/>
      <c r="S993" s="6"/>
      <c r="T993" s="6"/>
      <c r="U993" s="6"/>
      <c r="V993" s="6"/>
      <c r="W993" s="6"/>
      <c r="X993" s="6"/>
      <c r="Y993" s="6"/>
      <c r="Z993" s="6"/>
      <c r="AA993" s="6"/>
    </row>
    <row r="994" ht="15.75" customHeight="1">
      <c r="A994" s="59"/>
      <c r="B994" s="59"/>
      <c r="C994" s="59"/>
      <c r="D994" s="59"/>
      <c r="E994" s="59"/>
      <c r="F994" s="59"/>
      <c r="G994" s="59"/>
      <c r="H994" s="59"/>
      <c r="I994" s="59"/>
      <c r="J994" s="59"/>
      <c r="K994" s="59"/>
      <c r="L994" s="59"/>
      <c r="M994" s="59"/>
      <c r="N994" s="59"/>
      <c r="O994" s="7"/>
      <c r="P994" s="6"/>
      <c r="Q994" s="6"/>
      <c r="R994" s="6"/>
      <c r="S994" s="6"/>
      <c r="T994" s="6"/>
      <c r="U994" s="6"/>
      <c r="V994" s="6"/>
      <c r="W994" s="6"/>
      <c r="X994" s="6"/>
      <c r="Y994" s="6"/>
      <c r="Z994" s="6"/>
      <c r="AA994" s="6"/>
    </row>
    <row r="995" ht="15.75" customHeight="1">
      <c r="A995" s="59"/>
      <c r="B995" s="59"/>
      <c r="C995" s="59"/>
      <c r="D995" s="59"/>
      <c r="E995" s="59"/>
      <c r="F995" s="59"/>
      <c r="G995" s="59"/>
      <c r="H995" s="59"/>
      <c r="I995" s="59"/>
      <c r="J995" s="59"/>
      <c r="K995" s="59"/>
      <c r="L995" s="59"/>
      <c r="M995" s="59"/>
      <c r="N995" s="59"/>
      <c r="O995" s="7"/>
      <c r="P995" s="6"/>
      <c r="Q995" s="6"/>
      <c r="R995" s="6"/>
      <c r="S995" s="6"/>
      <c r="T995" s="6"/>
      <c r="U995" s="6"/>
      <c r="V995" s="6"/>
      <c r="W995" s="6"/>
      <c r="X995" s="6"/>
      <c r="Y995" s="6"/>
      <c r="Z995" s="6"/>
      <c r="AA995" s="6"/>
    </row>
    <row r="996" ht="15.75" customHeight="1">
      <c r="A996" s="59"/>
      <c r="B996" s="59"/>
      <c r="C996" s="59"/>
      <c r="D996" s="59"/>
      <c r="E996" s="59"/>
      <c r="F996" s="59"/>
      <c r="G996" s="59"/>
      <c r="H996" s="59"/>
      <c r="I996" s="59"/>
      <c r="J996" s="59"/>
      <c r="K996" s="59"/>
      <c r="L996" s="59"/>
      <c r="M996" s="59"/>
      <c r="N996" s="59"/>
      <c r="O996" s="7"/>
      <c r="P996" s="6"/>
      <c r="Q996" s="6"/>
      <c r="R996" s="6"/>
      <c r="S996" s="6"/>
      <c r="T996" s="6"/>
      <c r="U996" s="6"/>
      <c r="V996" s="6"/>
      <c r="W996" s="6"/>
      <c r="X996" s="6"/>
      <c r="Y996" s="6"/>
      <c r="Z996" s="6"/>
      <c r="AA996" s="6"/>
    </row>
    <row r="997" ht="15.75" customHeight="1">
      <c r="A997" s="59"/>
      <c r="B997" s="59"/>
      <c r="C997" s="59"/>
      <c r="D997" s="59"/>
      <c r="E997" s="59"/>
      <c r="F997" s="59"/>
      <c r="G997" s="59"/>
      <c r="H997" s="59"/>
      <c r="I997" s="59"/>
      <c r="J997" s="59"/>
      <c r="K997" s="59"/>
      <c r="L997" s="59"/>
      <c r="M997" s="59"/>
      <c r="N997" s="59"/>
      <c r="O997" s="7"/>
      <c r="P997" s="6"/>
      <c r="Q997" s="6"/>
      <c r="R997" s="6"/>
      <c r="S997" s="6"/>
      <c r="T997" s="6"/>
      <c r="U997" s="6"/>
      <c r="V997" s="6"/>
      <c r="W997" s="6"/>
      <c r="X997" s="6"/>
      <c r="Y997" s="6"/>
      <c r="Z997" s="6"/>
      <c r="AA997" s="6"/>
    </row>
    <row r="998" ht="15.75" customHeight="1">
      <c r="A998" s="59"/>
      <c r="B998" s="59"/>
      <c r="C998" s="59"/>
      <c r="D998" s="59"/>
      <c r="E998" s="59"/>
      <c r="F998" s="59"/>
      <c r="G998" s="59"/>
      <c r="H998" s="59"/>
      <c r="I998" s="59"/>
      <c r="J998" s="59"/>
      <c r="K998" s="59"/>
      <c r="L998" s="59"/>
      <c r="M998" s="59"/>
      <c r="N998" s="59"/>
      <c r="O998" s="7"/>
      <c r="P998" s="6"/>
      <c r="Q998" s="6"/>
      <c r="R998" s="6"/>
      <c r="S998" s="6"/>
      <c r="T998" s="6"/>
      <c r="U998" s="6"/>
      <c r="V998" s="6"/>
      <c r="W998" s="6"/>
      <c r="X998" s="6"/>
      <c r="Y998" s="6"/>
      <c r="Z998" s="6"/>
      <c r="AA998" s="6"/>
    </row>
    <row r="999" ht="15.75" customHeight="1">
      <c r="A999" s="59"/>
      <c r="B999" s="59"/>
      <c r="C999" s="59"/>
      <c r="D999" s="59"/>
      <c r="E999" s="59"/>
      <c r="F999" s="59"/>
      <c r="G999" s="59"/>
      <c r="H999" s="59"/>
      <c r="I999" s="59"/>
      <c r="J999" s="59"/>
      <c r="K999" s="59"/>
      <c r="L999" s="59"/>
      <c r="M999" s="59"/>
      <c r="N999" s="59"/>
      <c r="O999" s="7"/>
      <c r="P999" s="6"/>
      <c r="Q999" s="6"/>
      <c r="R999" s="6"/>
      <c r="S999" s="6"/>
      <c r="T999" s="6"/>
      <c r="U999" s="6"/>
      <c r="V999" s="6"/>
      <c r="W999" s="6"/>
      <c r="X999" s="6"/>
      <c r="Y999" s="6"/>
      <c r="Z999" s="6"/>
      <c r="AA999" s="6"/>
    </row>
    <row r="1000" ht="15.75" customHeight="1">
      <c r="A1000" s="59"/>
      <c r="B1000" s="59"/>
      <c r="C1000" s="59"/>
      <c r="D1000" s="59"/>
      <c r="E1000" s="59"/>
      <c r="F1000" s="59"/>
      <c r="G1000" s="59"/>
      <c r="H1000" s="59"/>
      <c r="I1000" s="59"/>
      <c r="J1000" s="59"/>
      <c r="K1000" s="59"/>
      <c r="L1000" s="59"/>
      <c r="M1000" s="59"/>
      <c r="N1000" s="59"/>
      <c r="O1000" s="7"/>
      <c r="P1000" s="6"/>
      <c r="Q1000" s="6"/>
      <c r="R1000" s="6"/>
      <c r="S1000" s="6"/>
      <c r="T1000" s="6"/>
      <c r="U1000" s="6"/>
      <c r="V1000" s="6"/>
      <c r="W1000" s="6"/>
      <c r="X1000" s="6"/>
      <c r="Y1000" s="6"/>
      <c r="Z1000" s="6"/>
      <c r="AA1000" s="6"/>
    </row>
  </sheetData>
  <mergeCells count="44">
    <mergeCell ref="A3:A4"/>
    <mergeCell ref="B3:B4"/>
    <mergeCell ref="C3:C4"/>
    <mergeCell ref="D3:D4"/>
    <mergeCell ref="E3:E4"/>
    <mergeCell ref="F3:F4"/>
    <mergeCell ref="G3:G4"/>
    <mergeCell ref="V3:V4"/>
    <mergeCell ref="W3:W4"/>
    <mergeCell ref="X3:X4"/>
    <mergeCell ref="O3:O4"/>
    <mergeCell ref="P3:P4"/>
    <mergeCell ref="Q3:Q4"/>
    <mergeCell ref="R3:R4"/>
    <mergeCell ref="S3:S4"/>
    <mergeCell ref="T3:T4"/>
    <mergeCell ref="U3:U4"/>
    <mergeCell ref="H3:H4"/>
    <mergeCell ref="I3:I4"/>
    <mergeCell ref="J3:J4"/>
    <mergeCell ref="K3:K4"/>
    <mergeCell ref="L3:L4"/>
    <mergeCell ref="M3:M4"/>
    <mergeCell ref="N3:N4"/>
    <mergeCell ref="A52:N52"/>
    <mergeCell ref="A53:N53"/>
    <mergeCell ref="A54:N54"/>
    <mergeCell ref="A55:N55"/>
    <mergeCell ref="A56:N56"/>
    <mergeCell ref="A57:N57"/>
    <mergeCell ref="A58:N58"/>
    <mergeCell ref="A67:N67"/>
    <mergeCell ref="A68:N68"/>
    <mergeCell ref="A69:N69"/>
    <mergeCell ref="A70:N70"/>
    <mergeCell ref="A71:N71"/>
    <mergeCell ref="A72:N72"/>
    <mergeCell ref="A59:N59"/>
    <mergeCell ref="A60:N60"/>
    <mergeCell ref="A61:N61"/>
    <mergeCell ref="A62:N62"/>
    <mergeCell ref="A63:N63"/>
    <mergeCell ref="A64:N64"/>
    <mergeCell ref="A66:N66"/>
  </mergeCells>
  <conditionalFormatting sqref="P5:P50">
    <cfRule type="cellIs" dxfId="0" priority="1" operator="lessThanOrEqual">
      <formula>0</formula>
    </cfRule>
  </conditionalFormatting>
  <conditionalFormatting sqref="P5:P50">
    <cfRule type="cellIs" dxfId="1" priority="2" stopIfTrue="1" operator="greaterThan">
      <formula>0</formula>
    </cfRule>
  </conditionalFormatting>
  <printOptions/>
  <pageMargins bottom="0.75" footer="0.0" header="0.0" left="0.7000000000000001" right="0.7000000000000001" top="0.75"/>
  <pageSetup paperSize="9" scale="74"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2" width="3.67"/>
    <col customWidth="1" hidden="1" min="13" max="13" width="9.11"/>
    <col customWidth="1" hidden="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4" width="9.11"/>
  </cols>
  <sheetData>
    <row r="1" ht="15.75" customHeight="1">
      <c r="A1" s="74" t="s">
        <v>135</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136</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IFERROR(__xludf.DUMMYFUNCTION("IMPORTRANGE(""https://docs.google.com/spreadsheets/d/1dffLfsI-BGVz-K0zdrsWfGaqrFfoLJAhq001merp6Rk/edit?usp=sharing"",""1-12每月!$E5"")"),18272.0)</f>
        <v>18272</v>
      </c>
      <c r="N5" s="83">
        <f>IFERROR(__xludf.DUMMYFUNCTION("IMPORTRANGE(""https://docs.google.com/spreadsheets/d/1SzxpZPUDnwxS8mSOLGEH5NbWU7ZW_VcRmIn7psOvuTs/edit#gid=1650312294?usp=sharing"",""1-12每月!$E5"")"),29908.0)</f>
        <v>29908</v>
      </c>
      <c r="O5" s="83">
        <f>IFERROR(__xludf.DUMMYFUNCTION("IMPORTRANGE(""https://docs.google.com/spreadsheets/d/1ta9i7cAkOPF0LapwmU_YEDA4IPQvKNuaYVMY8vIVPwI/edit#gid=1607741572?usp=sharing"",""1-12每月!$E5"")"),15564.0)</f>
        <v>15564</v>
      </c>
      <c r="P5" s="83">
        <f>IFERROR(__xludf.DUMMYFUNCTION("IMPORTRANGE(""https://docs.google.com/spreadsheets/d/1f4WWQfcNBonYqfzcaBhJlHzPwh34sx4U6naz-Aw2G4I/edit#gid=2097425894?usp=sharing"",""1-12每月!$G5"")"),11160.0)</f>
        <v>11160</v>
      </c>
      <c r="Q5" s="83">
        <f>IFERROR(__xludf.DUMMYFUNCTION("IMPORTRANGE(""https://docs.google.com/spreadsheets/d/1pCmmgCj7Y_SQPZLsiVd3yvND9oLyryVfBwNxC6OUwm8/edit#gid=170549058?usp=sharing"",""1-12每月!$G5"")"),27355.0)</f>
        <v>27355</v>
      </c>
      <c r="R5" s="83">
        <f>IFERROR(__xludf.DUMMYFUNCTION("IMPORTRANGE(""https://docs.google.com/spreadsheets/d/1hrRqxxacrLITR_JGMRVbhSRCIZIU8gAv0o_aOkHz68M/edit#gid=763155734?usp=sharing"",""1-12每月!$G5"")"),11745.0)</f>
        <v>11745</v>
      </c>
      <c r="S5" s="83">
        <f>IFERROR(__xludf.DUMMYFUNCTION("IMPORTRANGE(""https://docs.google.com/spreadsheets/d/1AKS3XWcgwNLFRbGU-lJ3UBHDQNdglvKwrv4_Bpp1IjU/edit#gid=73116376?usp=sharing"",""1-12每月!$F5"")"),15965.0)</f>
        <v>15965</v>
      </c>
      <c r="T5" s="83">
        <f>IFERROR(__xludf.DUMMYFUNCTION("IMPORTRANGE(""https://docs.google.com/spreadsheets/d/1wGGXGHkWT5JsjUDTy4FnHN_O9ae4MADbMykqIWVThNc/edit#gid=297806252"",""1-12每月!$F5"")"),7242.0)</f>
        <v>7242</v>
      </c>
      <c r="U5" s="83">
        <f>IFERROR(__xludf.DUMMYFUNCTION("IMPORTRANGE(""https://docs.google.com/spreadsheets/d/1ShTgtQQDjMKpYx-TJ_lwdxnWSzJNUcNnzR3fJjoaZec/edit#gid=66107904"",""1-12每月!$F5"")"),8813.0)</f>
        <v>8813</v>
      </c>
      <c r="V5" s="83">
        <f>IFERROR(__xludf.DUMMYFUNCTION("IMPORTRANGE(""https://docs.google.com/spreadsheets/d/1_eyuyKbXFCJd6fVFEKQwugwYCbRCmmWN_M7XR1dtOb8/edit#gid=951918895"",""1-12每月!$F5"")"),24126.0)</f>
        <v>24126</v>
      </c>
      <c r="W5" s="83">
        <f>IFERROR(__xludf.DUMMYFUNCTION("IMPORTRANGE(""https://docs.google.com/spreadsheets/d/1yEpHI9_Y4w8sRmPP9C-mYK4NMfVuTJifGLMj4FMdqek/edit#gid=799087919"",""1-12每月!$F5"")"),8692.0)</f>
        <v>8692</v>
      </c>
      <c r="X5" s="83">
        <f>IFERROR(__xludf.DUMMYFUNCTION("IMPORTRANGE(""https://docs.google.com/spreadsheets/d/1Vbyb9GlrY6jOwvoGyZFB96f7WXYjkT6gvTE37DPDXDI/edit#gid=9591526"",""1-12每月!$F5"")"),3686.0)</f>
        <v>3686</v>
      </c>
      <c r="Y5" s="83">
        <f>IFERROR(__xludf.DUMMYFUNCTION("IMPORTRANGE(""https://docs.google.com/spreadsheets/d/1qeckoJwzWQAg8zQ80D-QJP4pnVYH6l2juaUyHtOu6y8/edit#gid=1905704096"",""1-12每月!$F5"")"),26415.0)</f>
        <v>26415</v>
      </c>
      <c r="Z5" s="83">
        <f>IFERROR(__xludf.DUMMYFUNCTION("IMPORTRANGE(""https://docs.google.com/spreadsheets/d/1BcbIi7AD1VDpy_wMQ0YjCG-iuQy0_tkCVqr72a0Pwbg/edit#gid=1099513714"",""1-12每月!$F5"")"),4054.0)</f>
        <v>4054</v>
      </c>
      <c r="AA5" s="83">
        <f>IFERROR(__xludf.DUMMYFUNCTION("IMPORTRANGE(""https://docs.google.com/spreadsheets/d/1cIFCQPaYiOmIt2O3vkEx5eto8sfRtx3JtAWJ1fv31HI/edit#gid=432689709"",""1-12每月!$F5"")"),6544.0)</f>
        <v>6544</v>
      </c>
      <c r="AB5" s="83">
        <f>IFERROR(__xludf.DUMMYFUNCTION("IMPORTRANGE(""https://docs.google.com/spreadsheets/d/1C8ECYlbes2CJkHHGOAyOYVfrP7PdlGr8RMjK7KZd0_o/edit#gid=495469277"",""1-12每月!$F5"")"),7976.0)</f>
        <v>7976</v>
      </c>
      <c r="AC5" s="83">
        <f>IFERROR(__xludf.DUMMYFUNCTION("IMPORTRANGE(""https://docs.google.com/spreadsheets/d/1ettcrhLPK6tkvHZxDTyU2bGIpGSi2ynG91ln0fqz9iE/edit#gid=1364213386"",""1-12每月!$G5"")"),5236.0)</f>
        <v>5236</v>
      </c>
      <c r="AD5" s="83">
        <f>IFERROR(__xludf.DUMMYFUNCTION("IMPORTRANGE(""https://docs.google.com/spreadsheets/d/1xUhm-MtqzfUO8M5WEWVv9w2EFkv5_PHMOsAlA3CcCWU/edit#gid=1700470961"",""1-12每月!$G5"")"),13177.0)</f>
        <v>13177</v>
      </c>
      <c r="AE5" s="83">
        <f>IFERROR(__xludf.DUMMYFUNCTION("IMPORTRANGE(""https://docs.google.com/spreadsheets/d/1DP8wl0QQLYSZ8R2aQ8wNmiAUXn7lVrqMsdTccpBmnQc/edit#gid=1145593933"",""1-12每月!$G5"")"),6804.770000000004)</f>
        <v>6804.77</v>
      </c>
      <c r="AF5" s="83">
        <f>IFERROR(__xludf.DUMMYFUNCTION("IMPORTRANGE(""https://docs.google.com/spreadsheets/d/17hbKAHrpKLEbG3r9s1Ay3fOGzvOBzSu3Bn_CD4JNLhY/edit#gid=756408948"",""1-12每月!$G5"")"),9103.0)</f>
        <v>9103</v>
      </c>
      <c r="AG5" s="83">
        <f>IFERROR(__xludf.DUMMYFUNCTION("IMPORTRANGE(""https://docs.google.com/spreadsheets/d/1qeecSCKZ78ENQrsyUYpSNZqvo0-Y-uuGKFA1F06yLEM/edit#gid=874445072"",""1-12每月!$G5"")"),14833.0)</f>
        <v>14833</v>
      </c>
      <c r="AH5" s="83">
        <f>IFERROR(__xludf.DUMMYFUNCTION("IMPORTRANGE(""https://docs.google.com/spreadsheets/d/1BSX0y1fIKw9-3VTr627UzGVjwKe74kwBkuFnvlaueNo/edit#gid=1113655470"",""1-12每月!$G5"")"),4358.0)</f>
        <v>4358</v>
      </c>
      <c r="AI5" s="83">
        <f>IFERROR(__xludf.DUMMYFUNCTION("IMPORTRANGE(""https://docs.google.com/spreadsheets/d/1bQzlrSGiVqBrfQ6FKnw67vhBELFgthonryGzmQabVFQ/edit#gid=1015697053"",""1-12每月!$G5"")"),4840.0)</f>
        <v>4840</v>
      </c>
      <c r="AJ5" s="83">
        <f>IFERROR(__xludf.DUMMYFUNCTION("IMPORTRANGE(""https://docs.google.com/spreadsheets/d/1Pem-mgCz4CF6EUKNVxDQx16g9jie0F5YNDQ_cPnMHYs"",""1-12每月!$G5"")"),8061.0)</f>
        <v>8061</v>
      </c>
      <c r="AK5" s="83">
        <f>IFERROR(__xludf.DUMMYFUNCTION("IMPORTRANGE(""https://docs.google.com/spreadsheets/d/1ZoRtUl0m9T3TpY8H-9-ntNBO_zrYrgNKuAe_XfTeFnU"",""1-12每月!$G5"")"),17201.0)</f>
        <v>17201</v>
      </c>
      <c r="AL5" s="83">
        <f>IFERROR(__xludf.DUMMYFUNCTION("IMPORTRANGE(""https://docs.google.com/spreadsheets/d/1Y9Uv46r1nA3ixCGwTWZqhGQWDt4KVX4iXmhJgHL5CGQ"",""1-12每月!$G5"")"),19789.0)</f>
        <v>19789</v>
      </c>
      <c r="AM5" s="83">
        <f>IFERROR(__xludf.DUMMYFUNCTION("IMPORTRANGE(""https://docs.google.com/spreadsheets/d/1E3X732-CKfouAVQOwKyrePWwI1Bwg9NHD0VD42lyiu4/edit?gid=1513765949#gid=1513765949"",""1-12每月!$G5"")"),9595.0)</f>
        <v>9595</v>
      </c>
      <c r="AN5" s="114"/>
      <c r="AO5" s="114"/>
      <c r="AP5" s="114"/>
      <c r="AQ5" s="114"/>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IFERROR(__xludf.DUMMYFUNCTION("IMPORTRANGE(""https://docs.google.com/spreadsheets/d/1dffLfsI-BGVz-K0zdrsWfGaqrFfoLJAhq001merp6Rk/edit?usp=sharing"",""1-12每月!$E6"")"),54814.0)</f>
        <v>54814</v>
      </c>
      <c r="N6" s="83">
        <f>IFERROR(__xludf.DUMMYFUNCTION("IMPORTRANGE(""https://docs.google.com/spreadsheets/d/1SzxpZPUDnwxS8mSOLGEH5NbWU7ZW_VcRmIn7psOvuTs/edit#gid=1650312294?usp=sharing"",""1-12每月!$E6"")"),21023.0)</f>
        <v>21023</v>
      </c>
      <c r="O6" s="83">
        <f>IFERROR(__xludf.DUMMYFUNCTION("IMPORTRANGE(""https://docs.google.com/spreadsheets/d/1ta9i7cAkOPF0LapwmU_YEDA4IPQvKNuaYVMY8vIVPwI/edit#gid=1607741572?usp=sharing"",""1-12每月!$E6"")"),36863.0)</f>
        <v>36863</v>
      </c>
      <c r="P6" s="83">
        <f>IFERROR(__xludf.DUMMYFUNCTION("IMPORTRANGE(""https://docs.google.com/spreadsheets/d/1f4WWQfcNBonYqfzcaBhJlHzPwh34sx4U6naz-Aw2G4I/edit#gid=2097425894?usp=sharing"",""1-12每月!$G6"")"),46912.0)</f>
        <v>46912</v>
      </c>
      <c r="Q6" s="83">
        <f>IFERROR(__xludf.DUMMYFUNCTION("IMPORTRANGE(""https://docs.google.com/spreadsheets/d/1pCmmgCj7Y_SQPZLsiVd3yvND9oLyryVfBwNxC6OUwm8/edit#gid=170549058?usp=sharing"",""1-12每月!$G6"")"),21805.0)</f>
        <v>21805</v>
      </c>
      <c r="R6" s="83">
        <f>IFERROR(__xludf.DUMMYFUNCTION("IMPORTRANGE(""https://docs.google.com/spreadsheets/d/1hrRqxxacrLITR_JGMRVbhSRCIZIU8gAv0o_aOkHz68M/edit#gid=763155734?usp=sharing"",""1-12每月!$G6"")"),35558.0)</f>
        <v>35558</v>
      </c>
      <c r="S6" s="83">
        <f>IFERROR(__xludf.DUMMYFUNCTION("IMPORTRANGE(""https://docs.google.com/spreadsheets/d/1AKS3XWcgwNLFRbGU-lJ3UBHDQNdglvKwrv4_Bpp1IjU/edit#gid=73116376?usp=sharing"",""1-12每月!$F6"")"),29601.0)</f>
        <v>29601</v>
      </c>
      <c r="T6" s="83">
        <f>IFERROR(__xludf.DUMMYFUNCTION("IMPORTRANGE(""https://docs.google.com/spreadsheets/d/1wGGXGHkWT5JsjUDTy4FnHN_O9ae4MADbMykqIWVThNc/edit#gid=297806252?usp=sharing"",""1-12每月!$F6"")"),34317.0)</f>
        <v>34317</v>
      </c>
      <c r="U6" s="83">
        <f>IFERROR(__xludf.DUMMYFUNCTION("IMPORTRANGE(""https://docs.google.com/spreadsheets/d/1ShTgtQQDjMKpYx-TJ_lwdxnWSzJNUcNnzR3fJjoaZec/edit#gid=66107904?usp=sharing"",""1-12每月!$F6"")"),23850.0)</f>
        <v>23850</v>
      </c>
      <c r="V6" s="83">
        <f>IFERROR(__xludf.DUMMYFUNCTION("IMPORTRANGE(""https://docs.google.com/spreadsheets/d/1_eyuyKbXFCJd6fVFEKQwugwYCbRCmmWN_M7XR1dtOb8/edit#gid=951918895?usp=sharing"",""1-12每月!$F6"")"),14370.0)</f>
        <v>14370</v>
      </c>
      <c r="W6" s="83">
        <f>IFERROR(__xludf.DUMMYFUNCTION("IMPORTRANGE(""https://docs.google.com/spreadsheets/d/1yEpHI9_Y4w8sRmPP9C-mYK4NMfVuTJifGLMj4FMdqek/edit#gid=799087919?usp=sharing"",""1-12每月!$F6"")"),32066.0)</f>
        <v>32066</v>
      </c>
      <c r="X6" s="83">
        <f>IFERROR(__xludf.DUMMYFUNCTION("IMPORTRANGE(""https://docs.google.com/spreadsheets/d/1Vbyb9GlrY6jOwvoGyZFB96f7WXYjkT6gvTE37DPDXDI/edit#gid=9591526?usp=sharing"",""1-12每月!$F6"")"),27545.0)</f>
        <v>27545</v>
      </c>
      <c r="Y6" s="83">
        <f>IFERROR(__xludf.DUMMYFUNCTION("IMPORTRANGE(""https://docs.google.com/spreadsheets/d/1qeckoJwzWQAg8zQ80D-QJP4pnVYH6l2juaUyHtOu6y8/edit#gid=1905704096?usp=sharing"",""1-12每月!$F6"")"),9592.0)</f>
        <v>9592</v>
      </c>
      <c r="Z6" s="83">
        <f>IFERROR(__xludf.DUMMYFUNCTION("IMPORTRANGE(""https://docs.google.com/spreadsheets/d/1BcbIi7AD1VDpy_wMQ0YjCG-iuQy0_tkCVqr72a0Pwbg/edit#gid=1099513714?usp=sharing"",""1-12每月!$F6"")"),45457.0)</f>
        <v>45457</v>
      </c>
      <c r="AA6" s="83">
        <f>IFERROR(__xludf.DUMMYFUNCTION("IMPORTRANGE(""https://docs.google.com/spreadsheets/d/1cIFCQPaYiOmIt2O3vkEx5eto8sfRtx3JtAWJ1fv31HI/edit#gid=432689709?usp=sharing"",""1-12每月!$F6"")"),19762.0)</f>
        <v>19762</v>
      </c>
      <c r="AB6" s="83">
        <f>IFERROR(__xludf.DUMMYFUNCTION("IMPORTRANGE(""https://docs.google.com/spreadsheets/d/1C8ECYlbes2CJkHHGOAyOYVfrP7PdlGr8RMjK7KZd0_o/edit#gid=495469277?usp=sharing"",""1-12每月!$F6"")"),22466.0)</f>
        <v>22466</v>
      </c>
      <c r="AC6" s="83">
        <f>IFERROR(__xludf.DUMMYFUNCTION("IMPORTRANGE(""https://docs.google.com/spreadsheets/d/1ettcrhLPK6tkvHZxDTyU2bGIpGSi2ynG91ln0fqz9iE/edit#gid=1364213386?usp=sharing"",""1-12每月!$G6"")"),4905.0)</f>
        <v>4905</v>
      </c>
      <c r="AD6" s="83">
        <f>IFERROR(__xludf.DUMMYFUNCTION("IMPORTRANGE(""https://docs.google.com/spreadsheets/d/1xUhm-MtqzfUO8M5WEWVv9w2EFkv5_PHMOsAlA3CcCWU/edit#gid=1700470961?usp=sharing"",""1-12每月!$G6"")"),9681.0)</f>
        <v>9681</v>
      </c>
      <c r="AE6" s="83">
        <f>IFERROR(__xludf.DUMMYFUNCTION("IMPORTRANGE(""https://docs.google.com/spreadsheets/d/1DP8wl0QQLYSZ8R2aQ8wNmiAUXn7lVrqMsdTccpBmnQc/edit#gid=1145593933?usp=sharing"",""1-12每月!$G6"")"),11446.0)</f>
        <v>11446</v>
      </c>
      <c r="AF6" s="83">
        <f>IFERROR(__xludf.DUMMYFUNCTION("IMPORTRANGE(""https://docs.google.com/spreadsheets/d/17hbKAHrpKLEbG3r9s1Ay3fOGzvOBzSu3Bn_CD4JNLhY/edit#gid=756408948?usp=sharing"",""1-12每月!$G6"")"),11908.720000000001)</f>
        <v>11908.72</v>
      </c>
      <c r="AG6" s="83">
        <f>IFERROR(__xludf.DUMMYFUNCTION("IMPORTRANGE(""https://docs.google.com/spreadsheets/d/1qeecSCKZ78ENQrsyUYpSNZqvo0-Y-uuGKFA1F06yLEM/edit#gid=874445072?usp=sharing"",""1-12每月!$G6"")"),7692.0)</f>
        <v>7692</v>
      </c>
      <c r="AH6" s="83">
        <f>IFERROR(__xludf.DUMMYFUNCTION("IMPORTRANGE(""https://docs.google.com/spreadsheets/d/1BSX0y1fIKw9-3VTr627UzGVjwKe74kwBkuFnvlaueNo/edit#gid=1113655470"",""1-12每月!$G6"")"),10315.0)</f>
        <v>10315</v>
      </c>
      <c r="AI6" s="83">
        <f>IFERROR(__xludf.DUMMYFUNCTION("IMPORTRANGE(""https://docs.google.com/spreadsheets/d/1bQzlrSGiVqBrfQ6FKnw67vhBELFgthonryGzmQabVFQ/edit#gid=1015697053?usp=sharing"",""1-12每月!$G6"")"),8283.0)</f>
        <v>8283</v>
      </c>
      <c r="AJ6" s="83">
        <f>IFERROR(__xludf.DUMMYFUNCTION("IMPORTRANGE(""https://docs.google.com/spreadsheets/d/1Pem-mgCz4CF6EUKNVxDQx16g9jie0F5YNDQ_cPnMHYs?usp=sharing"",""1-12每月!$G6"")"),4475.0)</f>
        <v>4475</v>
      </c>
      <c r="AK6" s="83">
        <f>IFERROR(__xludf.DUMMYFUNCTION("IMPORTRANGE(""https://docs.google.com/spreadsheets/d/1ZoRtUl0m9T3TpY8H-9-ntNBO_zrYrgNKuAe_XfTeFnU"",""1-12每月!$G6"")"),23632.0)</f>
        <v>23632</v>
      </c>
      <c r="AL6" s="83">
        <f>IFERROR(__xludf.DUMMYFUNCTION("IMPORTRANGE(""https://docs.google.com/spreadsheets/d/1Y9Uv46r1nA3ixCGwTWZqhGQWDt4KVX4iXmhJgHL5CGQ"",""1-12每月!$G6"")"),13600.0)</f>
        <v>13600</v>
      </c>
      <c r="AM6" s="83">
        <f>IFERROR(__xludf.DUMMYFUNCTION("IMPORTRANGE(""https://docs.google.com/spreadsheets/d/1E3X732-CKfouAVQOwKyrePWwI1Bwg9NHD0VD42lyiu4/edit?gid=1513765949#gid=1513765949"",""1-12每月!$G6"")"),13898.0)</f>
        <v>13898</v>
      </c>
      <c r="AN6" s="114"/>
      <c r="AO6" s="114"/>
      <c r="AP6" s="114"/>
      <c r="AQ6" s="114"/>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IFERROR(__xludf.DUMMYFUNCTION("IMPORTRANGE(""https://docs.google.com/spreadsheets/d/1dffLfsI-BGVz-K0zdrsWfGaqrFfoLJAhq001merp6Rk/edit?usp=sharing"",""1-12每月!$E7"")"),19228.0)</f>
        <v>19228</v>
      </c>
      <c r="N7" s="83">
        <f>IFERROR(__xludf.DUMMYFUNCTION("IMPORTRANGE(""https://docs.google.com/spreadsheets/d/1SzxpZPUDnwxS8mSOLGEH5NbWU7ZW_VcRmIn7psOvuTs/edit#gid=1650312294?usp=sharing"",""1-12每月!$E7"")"),24562.0)</f>
        <v>24562</v>
      </c>
      <c r="O7" s="83">
        <f>IFERROR(__xludf.DUMMYFUNCTION("IMPORTRANGE(""https://docs.google.com/spreadsheets/d/1ta9i7cAkOPF0LapwmU_YEDA4IPQvKNuaYVMY8vIVPwI/edit#gid=1607741572?usp=sharing"",""1-12每月!$E7"")"),27370.0)</f>
        <v>27370</v>
      </c>
      <c r="P7" s="83">
        <f>IFERROR(__xludf.DUMMYFUNCTION("IMPORTRANGE(""https://docs.google.com/spreadsheets/d/1f4WWQfcNBonYqfzcaBhJlHzPwh34sx4U6naz-Aw2G4I/edit#gid=2097425894?usp=sharing"",""1-12每月!$G7"")"),23691.0)</f>
        <v>23691</v>
      </c>
      <c r="Q7" s="83">
        <f>IFERROR(__xludf.DUMMYFUNCTION("IMPORTRANGE(""https://docs.google.com/spreadsheets/d/1pCmmgCj7Y_SQPZLsiVd3yvND9oLyryVfBwNxC6OUwm8/edit#gid=170549058?usp=sharing"",""1-12每月!$G7"")"),13111.0)</f>
        <v>13111</v>
      </c>
      <c r="R7" s="83">
        <f>IFERROR(__xludf.DUMMYFUNCTION("IMPORTRANGE(""https://docs.google.com/spreadsheets/d/1hrRqxxacrLITR_JGMRVbhSRCIZIU8gAv0o_aOkHz68M/edit#gid=763155734?usp=sharing"",""1-12每月!$G7"")"),13230.0)</f>
        <v>13230</v>
      </c>
      <c r="S7" s="83">
        <f>IFERROR(__xludf.DUMMYFUNCTION("IMPORTRANGE(""https://docs.google.com/spreadsheets/d/1AKS3XWcgwNLFRbGU-lJ3UBHDQNdglvKwrv4_Bpp1IjU/edit#gid=73116376?usp=sharing"",""1-12每月!$F7"")"),17235.0)</f>
        <v>17235</v>
      </c>
      <c r="T7" s="83">
        <f>IFERROR(__xludf.DUMMYFUNCTION("IMPORTRANGE(""https://docs.google.com/spreadsheets/d/1wGGXGHkWT5JsjUDTy4FnHN_O9ae4MADbMykqIWVThNc/edit#gid=297806252?usp=sharing"",""1-12每月!$F7"")"),12881.0)</f>
        <v>12881</v>
      </c>
      <c r="U7" s="83">
        <f>IFERROR(__xludf.DUMMYFUNCTION("IMPORTRANGE(""https://docs.google.com/spreadsheets/d/1ShTgtQQDjMKpYx-TJ_lwdxnWSzJNUcNnzR3fJjoaZec/edit#gid=66107904?usp=sharing"",""1-12每月!$F7"")"),12639.0)</f>
        <v>12639</v>
      </c>
      <c r="V7" s="83">
        <f>IFERROR(__xludf.DUMMYFUNCTION("IMPORTRANGE(""https://docs.google.com/spreadsheets/d/1_eyuyKbXFCJd6fVFEKQwugwYCbRCmmWN_M7XR1dtOb8/edit#gid=951918895?usp=sharing"",""1-12每月!$F7"")"),17115.0)</f>
        <v>17115</v>
      </c>
      <c r="W7" s="83">
        <f>IFERROR(__xludf.DUMMYFUNCTION("IMPORTRANGE(""https://docs.google.com/spreadsheets/d/1yEpHI9_Y4w8sRmPP9C-mYK4NMfVuTJifGLMj4FMdqek/edit#gid=799087919?usp=sharing"",""1-12每月!$F7"")"),9363.0)</f>
        <v>9363</v>
      </c>
      <c r="X7" s="83">
        <f>IFERROR(__xludf.DUMMYFUNCTION("IMPORTRANGE(""https://docs.google.com/spreadsheets/d/1Vbyb9GlrY6jOwvoGyZFB96f7WXYjkT6gvTE37DPDXDI/edit#gid=9591526?usp=sharing"",""1-12每月!$F7"")"),6331.0)</f>
        <v>6331</v>
      </c>
      <c r="Y7" s="83">
        <f>IFERROR(__xludf.DUMMYFUNCTION("IMPORTRANGE(""https://docs.google.com/spreadsheets/d/1qeckoJwzWQAg8zQ80D-QJP4pnVYH6l2juaUyHtOu6y8/edit#gid=1905704096?usp=sharing"",""1-12每月!$F7"")"),6952.0)</f>
        <v>6952</v>
      </c>
      <c r="Z7" s="83">
        <f>IFERROR(__xludf.DUMMYFUNCTION("IMPORTRANGE(""https://docs.google.com/spreadsheets/d/1BcbIi7AD1VDpy_wMQ0YjCG-iuQy0_tkCVqr72a0Pwbg/edit#gid=1099513714?usp=sharing"",""1-12每月!$F7"")"),5778.0)</f>
        <v>5778</v>
      </c>
      <c r="AA7" s="83">
        <f>IFERROR(__xludf.DUMMYFUNCTION("IMPORTRANGE(""https://docs.google.com/spreadsheets/d/1cIFCQPaYiOmIt2O3vkEx5eto8sfRtx3JtAWJ1fv31HI/edit#gid=432689709?usp=sharing"",""1-12每月!$F7"")"),8986.0)</f>
        <v>8986</v>
      </c>
      <c r="AB7" s="83">
        <f>IFERROR(__xludf.DUMMYFUNCTION("IMPORTRANGE(""https://docs.google.com/spreadsheets/d/1C8ECYlbes2CJkHHGOAyOYVfrP7PdlGr8RMjK7KZd0_o/edit#gid=495469277?usp=sharing"",""1-12每月!$F7"")"),7742.0)</f>
        <v>7742</v>
      </c>
      <c r="AC7" s="83">
        <f>IFERROR(__xludf.DUMMYFUNCTION("IMPORTRANGE(""https://docs.google.com/spreadsheets/d/1ettcrhLPK6tkvHZxDTyU2bGIpGSi2ynG91ln0fqz9iE/edit#gid=1364213386?usp=sharing"",""1-12每月!$G7"")"),5551.0)</f>
        <v>5551</v>
      </c>
      <c r="AD7" s="83">
        <f>IFERROR(__xludf.DUMMYFUNCTION("IMPORTRANGE(""https://docs.google.com/spreadsheets/d/1xUhm-MtqzfUO8M5WEWVv9w2EFkv5_PHMOsAlA3CcCWU/edit#gid=1700470961?usp=sharing"",""1-12每月!$G7"")"),7043.0)</f>
        <v>7043</v>
      </c>
      <c r="AE7" s="83">
        <f>IFERROR(__xludf.DUMMYFUNCTION("IMPORTRANGE(""https://docs.google.com/spreadsheets/d/1DP8wl0QQLYSZ8R2aQ8wNmiAUXn7lVrqMsdTccpBmnQc/edit#gid=1145593933?usp=sharing"",""1-12每月!$G7"")"),6412.0)</f>
        <v>6412</v>
      </c>
      <c r="AF7" s="83">
        <f>IFERROR(__xludf.DUMMYFUNCTION("IMPORTRANGE(""https://docs.google.com/spreadsheets/d/17hbKAHrpKLEbG3r9s1Ay3fOGzvOBzSu3Bn_CD4JNLhY/edit#gid=756408948?usp=sharing"",""1-12每月!$G7"")"),14631.359999999999)</f>
        <v>14631.36</v>
      </c>
      <c r="AG7" s="83">
        <f>IFERROR(__xludf.DUMMYFUNCTION("IMPORTRANGE(""https://docs.google.com/spreadsheets/d/1qeecSCKZ78ENQrsyUYpSNZqvo0-Y-uuGKFA1F06yLEM/edit#gid=874445072?usp=sharing"",""1-12每月!$G7"")"),3774.0)</f>
        <v>3774</v>
      </c>
      <c r="AH7" s="83">
        <f>IFERROR(__xludf.DUMMYFUNCTION("IMPORTRANGE(""https://docs.google.com/spreadsheets/d/1BSX0y1fIKw9-3VTr627UzGVjwKe74kwBkuFnvlaueNo/edit#gid=1113655470"",""1-12每月!$G7"")"),4693.0)</f>
        <v>4693</v>
      </c>
      <c r="AI7" s="83">
        <f>IFERROR(__xludf.DUMMYFUNCTION("IMPORTRANGE(""https://docs.google.com/spreadsheets/d/1bQzlrSGiVqBrfQ6FKnw67vhBELFgthonryGzmQabVFQ/edit#gid=1015697053?usp=sharing"",""1-12每月!$G7"")"),3165.0)</f>
        <v>3165</v>
      </c>
      <c r="AJ7" s="83">
        <f>IFERROR(__xludf.DUMMYFUNCTION("IMPORTRANGE(""https://docs.google.com/spreadsheets/d/1Pem-mgCz4CF6EUKNVxDQx16g9jie0F5YNDQ_cPnMHYs?usp=sharing"",""1-12每月!$G7"")"),2895.0)</f>
        <v>2895</v>
      </c>
      <c r="AK7" s="83">
        <f>IFERROR(__xludf.DUMMYFUNCTION("IMPORTRANGE(""https://docs.google.com/spreadsheets/d/1ZoRtUl0m9T3TpY8H-9-ntNBO_zrYrgNKuAe_XfTeFnU"",""1-12每月!$G7"")"),15119.0)</f>
        <v>15119</v>
      </c>
      <c r="AL7" s="83">
        <f>IFERROR(__xludf.DUMMYFUNCTION("IMPORTRANGE(""https://docs.google.com/spreadsheets/d/1Y9Uv46r1nA3ixCGwTWZqhGQWDt4KVX4iXmhJgHL5CGQ"",""1-12每月!$G7"")"),13830.0)</f>
        <v>13830</v>
      </c>
      <c r="AM7" s="83">
        <f>IFERROR(__xludf.DUMMYFUNCTION("IMPORTRANGE(""https://docs.google.com/spreadsheets/d/1E3X732-CKfouAVQOwKyrePWwI1Bwg9NHD0VD42lyiu4/edit?gid=1513765949#gid=1513765949"",""1-12每月!$G7"")"),9296.0)</f>
        <v>9296</v>
      </c>
      <c r="AN7" s="114"/>
      <c r="AO7" s="114"/>
      <c r="AP7" s="114"/>
      <c r="AQ7" s="114"/>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IFERROR(__xludf.DUMMYFUNCTION("IMPORTRANGE(""https://docs.google.com/spreadsheets/d/1dffLfsI-BGVz-K0zdrsWfGaqrFfoLJAhq001merp6Rk/edit?usp=sharing"",""1-12每月!$E8"")"),30892.0)</f>
        <v>30892</v>
      </c>
      <c r="N8" s="83">
        <f>IFERROR(__xludf.DUMMYFUNCTION("IMPORTRANGE(""https://docs.google.com/spreadsheets/d/1SzxpZPUDnwxS8mSOLGEH5NbWU7ZW_VcRmIn7psOvuTs/edit#gid=1650312294?usp=sharing"",""1-12每月!$E8"")"),23308.0)</f>
        <v>23308</v>
      </c>
      <c r="O8" s="83">
        <f>IFERROR(__xludf.DUMMYFUNCTION("IMPORTRANGE(""https://docs.google.com/spreadsheets/d/1ta9i7cAkOPF0LapwmU_YEDA4IPQvKNuaYVMY8vIVPwI/edit#gid=1607741572?usp=sharing"",""1-12每月!$E8"")"),23519.0)</f>
        <v>23519</v>
      </c>
      <c r="P8" s="83">
        <f>IFERROR(__xludf.DUMMYFUNCTION("IMPORTRANGE(""https://docs.google.com/spreadsheets/d/1f4WWQfcNBonYqfzcaBhJlHzPwh34sx4U6naz-Aw2G4I/edit#gid=2097425894?usp=sharing"",""1-12每月!$G8"")"),21767.0)</f>
        <v>21767</v>
      </c>
      <c r="Q8" s="83">
        <f>IFERROR(__xludf.DUMMYFUNCTION("IMPORTRANGE(""https://docs.google.com/spreadsheets/d/1pCmmgCj7Y_SQPZLsiVd3yvND9oLyryVfBwNxC6OUwm8/edit#gid=170549058?usp=sharing"",""1-12每月!$G8"")"),14611.0)</f>
        <v>14611</v>
      </c>
      <c r="R8" s="83">
        <f>IFERROR(__xludf.DUMMYFUNCTION("IMPORTRANGE(""https://docs.google.com/spreadsheets/d/1hrRqxxacrLITR_JGMRVbhSRCIZIU8gAv0o_aOkHz68M/edit#gid=763155734?usp=sharing"",""1-12每月!$G8"")"),17412.0)</f>
        <v>17412</v>
      </c>
      <c r="S8" s="83">
        <f>IFERROR(__xludf.DUMMYFUNCTION("IMPORTRANGE(""https://docs.google.com/spreadsheets/d/1AKS3XWcgwNLFRbGU-lJ3UBHDQNdglvKwrv4_Bpp1IjU/edit#gid=73116376?usp=sharing"",""1-12每月!$F8"")"),17830.0)</f>
        <v>17830</v>
      </c>
      <c r="T8" s="83">
        <f>IFERROR(__xludf.DUMMYFUNCTION("IMPORTRANGE(""https://docs.google.com/spreadsheets/d/1wGGXGHkWT5JsjUDTy4FnHN_O9ae4MADbMykqIWVThNc/edit#gid=297806252?usp=sharing"",""1-12每月!$F8"")"),16291.0)</f>
        <v>16291</v>
      </c>
      <c r="U8" s="83">
        <f>IFERROR(__xludf.DUMMYFUNCTION("IMPORTRANGE(""https://docs.google.com/spreadsheets/d/1ShTgtQQDjMKpYx-TJ_lwdxnWSzJNUcNnzR3fJjoaZec/edit#gid=66107904?usp=sharing"",""1-12每月!$F8"")"),14193.0)</f>
        <v>14193</v>
      </c>
      <c r="V8" s="83">
        <f>IFERROR(__xludf.DUMMYFUNCTION("IMPORTRANGE(""https://docs.google.com/spreadsheets/d/1_eyuyKbXFCJd6fVFEKQwugwYCbRCmmWN_M7XR1dtOb8/edit#gid=951918895?usp=sharing"",""1-12每月!$F8"")"),22126.0)</f>
        <v>22126</v>
      </c>
      <c r="W8" s="83">
        <f>IFERROR(__xludf.DUMMYFUNCTION("IMPORTRANGE(""https://docs.google.com/spreadsheets/d/1yEpHI9_Y4w8sRmPP9C-mYK4NMfVuTJifGLMj4FMdqek/edit#gid=799087919?usp=sharing"",""1-12每月!$F8"")"),11587.0)</f>
        <v>11587</v>
      </c>
      <c r="X8" s="83">
        <f>IFERROR(__xludf.DUMMYFUNCTION("IMPORTRANGE(""https://docs.google.com/spreadsheets/d/1Vbyb9GlrY6jOwvoGyZFB96f7WXYjkT6gvTE37DPDXDI/edit#gid=9591526?usp=sharing"",""1-12每月!$F8"")"),8164.0)</f>
        <v>8164</v>
      </c>
      <c r="Y8" s="83">
        <f>IFERROR(__xludf.DUMMYFUNCTION("IMPORTRANGE(""https://docs.google.com/spreadsheets/d/1qeckoJwzWQAg8zQ80D-QJP4pnVYH6l2juaUyHtOu6y8/edit#gid=1905704096?usp=sharing"",""1-12每月!$F8"")"),7925.0)</f>
        <v>7925</v>
      </c>
      <c r="Z8" s="83">
        <f>IFERROR(__xludf.DUMMYFUNCTION("IMPORTRANGE(""https://docs.google.com/spreadsheets/d/1BcbIi7AD1VDpy_wMQ0YjCG-iuQy0_tkCVqr72a0Pwbg/edit#gid=1099513714?usp=sharing"",""1-12每月!$F8"")"),7790.0)</f>
        <v>7790</v>
      </c>
      <c r="AA8" s="83">
        <f>IFERROR(__xludf.DUMMYFUNCTION("IMPORTRANGE(""https://docs.google.com/spreadsheets/d/1cIFCQPaYiOmIt2O3vkEx5eto8sfRtx3JtAWJ1fv31HI/edit#gid=432689709?usp=sharing"",""1-12每月!$F8"")"),8448.0)</f>
        <v>8448</v>
      </c>
      <c r="AB8" s="83">
        <f>IFERROR(__xludf.DUMMYFUNCTION("IMPORTRANGE(""https://docs.google.com/spreadsheets/d/1C8ECYlbes2CJkHHGOAyOYVfrP7PdlGr8RMjK7KZd0_o/edit#gid=495469277?usp=sharing"",""1-12每月!$F8"")"),9233.0)</f>
        <v>9233</v>
      </c>
      <c r="AC8" s="83">
        <f>IFERROR(__xludf.DUMMYFUNCTION("IMPORTRANGE(""https://docs.google.com/spreadsheets/d/1ettcrhLPK6tkvHZxDTyU2bGIpGSi2ynG91ln0fqz9iE/edit#gid=1364213386?usp=sharing"",""1-12每月!$G8"")"),7033.0)</f>
        <v>7033</v>
      </c>
      <c r="AD8" s="83">
        <f>IFERROR(__xludf.DUMMYFUNCTION("IMPORTRANGE(""https://docs.google.com/spreadsheets/d/1xUhm-MtqzfUO8M5WEWVv9w2EFkv5_PHMOsAlA3CcCWU/edit#gid=1700470961?usp=sharing"",""1-12每月!$G8"")"),10027.0)</f>
        <v>10027</v>
      </c>
      <c r="AE8" s="83">
        <f>IFERROR(__xludf.DUMMYFUNCTION("IMPORTRANGE(""https://docs.google.com/spreadsheets/d/1DP8wl0QQLYSZ8R2aQ8wNmiAUXn7lVrqMsdTccpBmnQc/edit#gid=1145593933?usp=sharing"",""1-12每月!$G8"")"),9124.0)</f>
        <v>9124</v>
      </c>
      <c r="AF8" s="83">
        <f>IFERROR(__xludf.DUMMYFUNCTION("IMPORTRANGE(""https://docs.google.com/spreadsheets/d/17hbKAHrpKLEbG3r9s1Ay3fOGzvOBzSu3Bn_CD4JNLhY/edit#gid=756408948?usp=sharing"",""1-12每月!$G8"")"),13833.0)</f>
        <v>13833</v>
      </c>
      <c r="AG8" s="83">
        <f>IFERROR(__xludf.DUMMYFUNCTION("IMPORTRANGE(""https://docs.google.com/spreadsheets/d/1qeecSCKZ78ENQrsyUYpSNZqvo0-Y-uuGKFA1F06yLEM/edit#gid=874445072?usp=sharing"",""1-12每月!$G8"")"),3981.0)</f>
        <v>3981</v>
      </c>
      <c r="AH8" s="83">
        <f>IFERROR(__xludf.DUMMYFUNCTION("IMPORTRANGE(""https://docs.google.com/spreadsheets/d/1BSX0y1fIKw9-3VTr627UzGVjwKe74kwBkuFnvlaueNo/edit#gid=1113655470"",""1-12每月!$G8"")"),7191.0)</f>
        <v>7191</v>
      </c>
      <c r="AI8" s="83">
        <f>IFERROR(__xludf.DUMMYFUNCTION("IMPORTRANGE(""https://docs.google.com/spreadsheets/d/1bQzlrSGiVqBrfQ6FKnw67vhBELFgthonryGzmQabVFQ/edit#gid=1015697053?usp=sharing"",""1-12每月!$G8"")"),4007.0)</f>
        <v>4007</v>
      </c>
      <c r="AJ8" s="83">
        <f>IFERROR(__xludf.DUMMYFUNCTION("IMPORTRANGE(""https://docs.google.com/spreadsheets/d/1Pem-mgCz4CF6EUKNVxDQx16g9jie0F5YNDQ_cPnMHYs?usp=sharing"",""1-12每月!$G8"")"),8439.0)</f>
        <v>8439</v>
      </c>
      <c r="AK8" s="83">
        <f>IFERROR(__xludf.DUMMYFUNCTION("IMPORTRANGE(""https://docs.google.com/spreadsheets/d/1ZoRtUl0m9T3TpY8H-9-ntNBO_zrYrgNKuAe_XfTeFnU"",""1-12每月!$G8"")"),10821.0)</f>
        <v>10821</v>
      </c>
      <c r="AL8" s="83">
        <f>IFERROR(__xludf.DUMMYFUNCTION("IMPORTRANGE(""https://docs.google.com/spreadsheets/d/1Y9Uv46r1nA3ixCGwTWZqhGQWDt4KVX4iXmhJgHL5CGQ"",""1-12每月!$G8"")"),17094.0)</f>
        <v>17094</v>
      </c>
      <c r="AM8" s="83">
        <f>IFERROR(__xludf.DUMMYFUNCTION("IMPORTRANGE(""https://docs.google.com/spreadsheets/d/1E3X732-CKfouAVQOwKyrePWwI1Bwg9NHD0VD42lyiu4/edit?gid=1513765949#gid=1513765949"",""1-12每月!$G8"")"),11123.0)</f>
        <v>11123</v>
      </c>
      <c r="AN8" s="114"/>
      <c r="AO8" s="114"/>
      <c r="AP8" s="114"/>
      <c r="AQ8" s="114"/>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IFERROR(__xludf.DUMMYFUNCTION("IMPORTRANGE(""https://docs.google.com/spreadsheets/d/1dffLfsI-BGVz-K0zdrsWfGaqrFfoLJAhq001merp6Rk/edit?usp=sharing"",""1-12每月!$E9"")"),19756.0)</f>
        <v>19756</v>
      </c>
      <c r="N9" s="83">
        <f>IFERROR(__xludf.DUMMYFUNCTION("IMPORTRANGE(""https://docs.google.com/spreadsheets/d/1SzxpZPUDnwxS8mSOLGEH5NbWU7ZW_VcRmIn7psOvuTs/edit#gid=1650312294?usp=sharing"",""1-12每月!$E9"")"),14621.0)</f>
        <v>14621</v>
      </c>
      <c r="O9" s="83">
        <f>IFERROR(__xludf.DUMMYFUNCTION("IMPORTRANGE(""https://docs.google.com/spreadsheets/d/1ta9i7cAkOPF0LapwmU_YEDA4IPQvKNuaYVMY8vIVPwI/edit#gid=1607741572?usp=sharing"",""1-12每月!$E9"")"),23519.0)</f>
        <v>23519</v>
      </c>
      <c r="P9" s="83">
        <f>IFERROR(__xludf.DUMMYFUNCTION("IMPORTRANGE(""https://docs.google.com/spreadsheets/d/1f4WWQfcNBonYqfzcaBhJlHzPwh34sx4U6naz-Aw2G4I/edit#gid=2097425894?usp=sharing"",""1-12每月!$G9"")"),8077.0)</f>
        <v>8077</v>
      </c>
      <c r="Q9" s="83">
        <f>IFERROR(__xludf.DUMMYFUNCTION("IMPORTRANGE(""https://docs.google.com/spreadsheets/d/1pCmmgCj7Y_SQPZLsiVd3yvND9oLyryVfBwNxC6OUwm8/edit#gid=170549058?usp=sharing"",""1-12每月!$G9"")"),18761.0)</f>
        <v>18761</v>
      </c>
      <c r="R9" s="83">
        <f>IFERROR(__xludf.DUMMYFUNCTION("IMPORTRANGE(""https://docs.google.com/spreadsheets/d/1hrRqxxacrLITR_JGMRVbhSRCIZIU8gAv0o_aOkHz68M/edit#gid=763155734?usp=sharing"",""1-12每月!$G9"")"),17026.0)</f>
        <v>17026</v>
      </c>
      <c r="S9" s="83">
        <f>IFERROR(__xludf.DUMMYFUNCTION("IMPORTRANGE(""https://docs.google.com/spreadsheets/d/1AKS3XWcgwNLFRbGU-lJ3UBHDQNdglvKwrv4_Bpp1IjU/edit#gid=73116376?usp=sharing"",""1-12每月!$F9"")"),10840.0)</f>
        <v>10840</v>
      </c>
      <c r="T9" s="83">
        <f>IFERROR(__xludf.DUMMYFUNCTION("IMPORTRANGE(""https://docs.google.com/spreadsheets/d/1wGGXGHkWT5JsjUDTy4FnHN_O9ae4MADbMykqIWVThNc/edit#gid=297806252?usp=sharing"",""1-12每月!$F9"")"),11545.0)</f>
        <v>11545</v>
      </c>
      <c r="U9" s="83">
        <f>IFERROR(__xludf.DUMMYFUNCTION("IMPORTRANGE(""https://docs.google.com/spreadsheets/d/1ShTgtQQDjMKpYx-TJ_lwdxnWSzJNUcNnzR3fJjoaZec/edit#gid=66107904?usp=sharing"",""1-12每月!$F9"")"),15226.0)</f>
        <v>15226</v>
      </c>
      <c r="V9" s="83">
        <f>IFERROR(__xludf.DUMMYFUNCTION("IMPORTRANGE(""https://docs.google.com/spreadsheets/d/1_eyuyKbXFCJd6fVFEKQwugwYCbRCmmWN_M7XR1dtOb8/edit#gid=951918895?usp=sharing"",""1-12每月!$F9"")"),28160.0)</f>
        <v>28160</v>
      </c>
      <c r="W9" s="83">
        <f>IFERROR(__xludf.DUMMYFUNCTION("IMPORTRANGE(""https://docs.google.com/spreadsheets/d/1yEpHI9_Y4w8sRmPP9C-mYK4NMfVuTJifGLMj4FMdqek/edit#gid=799087919?usp=sharing"",""1-12每月!$F9"")"),12371.0)</f>
        <v>12371</v>
      </c>
      <c r="X9" s="83">
        <f>IFERROR(__xludf.DUMMYFUNCTION("IMPORTRANGE(""https://docs.google.com/spreadsheets/d/1Vbyb9GlrY6jOwvoGyZFB96f7WXYjkT6gvTE37DPDXDI/edit#gid=9591526?usp=sharing"",""1-12每月!$F9"")"),5502.0)</f>
        <v>5502</v>
      </c>
      <c r="Y9" s="83">
        <f>IFERROR(__xludf.DUMMYFUNCTION("IMPORTRANGE(""https://docs.google.com/spreadsheets/d/1qeckoJwzWQAg8zQ80D-QJP4pnVYH6l2juaUyHtOu6y8/edit#gid=1905704096?usp=sharing"",""1-12每月!$F9"")"),5631.0)</f>
        <v>5631</v>
      </c>
      <c r="Z9" s="83">
        <f>IFERROR(__xludf.DUMMYFUNCTION("IMPORTRANGE(""https://docs.google.com/spreadsheets/d/1BcbIi7AD1VDpy_wMQ0YjCG-iuQy0_tkCVqr72a0Pwbg/edit#gid=1099513714?usp=sharing"",""1-12每月!$F9"")"),5919.0)</f>
        <v>5919</v>
      </c>
      <c r="AA9" s="83">
        <f>IFERROR(__xludf.DUMMYFUNCTION("IMPORTRANGE(""https://docs.google.com/spreadsheets/d/1cIFCQPaYiOmIt2O3vkEx5eto8sfRtx3JtAWJ1fv31HI/edit#gid=432689709?usp=sharing"",""1-12每月!$F9"")"),7210.0)</f>
        <v>7210</v>
      </c>
      <c r="AB9" s="83">
        <f>IFERROR(__xludf.DUMMYFUNCTION("IMPORTRANGE(""https://docs.google.com/spreadsheets/d/1C8ECYlbes2CJkHHGOAyOYVfrP7PdlGr8RMjK7KZd0_o/edit#gid=495469277?usp=sharing"",""1-12每月!$F9"")"),7001.0)</f>
        <v>7001</v>
      </c>
      <c r="AC9" s="83">
        <f>IFERROR(__xludf.DUMMYFUNCTION("IMPORTRANGE(""https://docs.google.com/spreadsheets/d/1ettcrhLPK6tkvHZxDTyU2bGIpGSi2ynG91ln0fqz9iE/edit#gid=1364213386?usp=sharing"",""1-12每月!$G9"")"),5414.0)</f>
        <v>5414</v>
      </c>
      <c r="AD9" s="83">
        <f>IFERROR(__xludf.DUMMYFUNCTION("IMPORTRANGE(""https://docs.google.com/spreadsheets/d/1xUhm-MtqzfUO8M5WEWVv9w2EFkv5_PHMOsAlA3CcCWU/edit#gid=1700470961?usp=sharing"",""1-12每月!$G9"")"),7368.0)</f>
        <v>7368</v>
      </c>
      <c r="AE9" s="83">
        <f>IFERROR(__xludf.DUMMYFUNCTION("IMPORTRANGE(""https://docs.google.com/spreadsheets/d/1DP8wl0QQLYSZ8R2aQ8wNmiAUXn7lVrqMsdTccpBmnQc/edit#gid=1145593933?usp=sharing"",""1-12每月!$G9"")"),6333.0)</f>
        <v>6333</v>
      </c>
      <c r="AF9" s="83">
        <f>IFERROR(__xludf.DUMMYFUNCTION("IMPORTRANGE(""https://docs.google.com/spreadsheets/d/17hbKAHrpKLEbG3r9s1Ay3fOGzvOBzSu3Bn_CD4JNLhY/edit#gid=756408948?usp=sharing"",""1-12每月!$G9"")"),11625.910000000002)</f>
        <v>11625.91</v>
      </c>
      <c r="AG9" s="83">
        <f>IFERROR(__xludf.DUMMYFUNCTION("IMPORTRANGE(""https://docs.google.com/spreadsheets/d/1qeecSCKZ78ENQrsyUYpSNZqvo0-Y-uuGKFA1F06yLEM/edit#gid=874445072?usp=sharing"",""1-12每月!$G9"")"),4942.0)</f>
        <v>4942</v>
      </c>
      <c r="AH9" s="83">
        <f>IFERROR(__xludf.DUMMYFUNCTION("IMPORTRANGE(""https://docs.google.com/spreadsheets/d/1BSX0y1fIKw9-3VTr627UzGVjwKe74kwBkuFnvlaueNo/edit#gid=1113655470"",""1-12每月!$G9"")"),2313.0)</f>
        <v>2313</v>
      </c>
      <c r="AI9" s="83">
        <f>IFERROR(__xludf.DUMMYFUNCTION("IMPORTRANGE(""https://docs.google.com/spreadsheets/d/1bQzlrSGiVqBrfQ6FKnw67vhBELFgthonryGzmQabVFQ/edit#gid=1015697053?usp=sharing"",""1-12每月!$G9"")"),1929.0)</f>
        <v>1929</v>
      </c>
      <c r="AJ9" s="83">
        <f>IFERROR(__xludf.DUMMYFUNCTION("IMPORTRANGE(""https://docs.google.com/spreadsheets/d/1Pem-mgCz4CF6EUKNVxDQx16g9jie0F5YNDQ_cPnMHYs?usp=sharing"",""1-12每月!$G9"")"),5347.0)</f>
        <v>5347</v>
      </c>
      <c r="AK9" s="83">
        <f>IFERROR(__xludf.DUMMYFUNCTION("IMPORTRANGE(""https://docs.google.com/spreadsheets/d/1ZoRtUl0m9T3TpY8H-9-ntNBO_zrYrgNKuAe_XfTeFnU"",""1-12每月!$G9"")"),12195.0)</f>
        <v>12195</v>
      </c>
      <c r="AL9" s="83">
        <f>IFERROR(__xludf.DUMMYFUNCTION("IMPORTRANGE(""https://docs.google.com/spreadsheets/d/1Y9Uv46r1nA3ixCGwTWZqhGQWDt4KVX4iXmhJgHL5CGQ"",""1-12每月!$G9"")"),14087.0)</f>
        <v>14087</v>
      </c>
      <c r="AM9" s="83">
        <f>IFERROR(__xludf.DUMMYFUNCTION("IMPORTRANGE(""https://docs.google.com/spreadsheets/d/1E3X732-CKfouAVQOwKyrePWwI1Bwg9NHD0VD42lyiu4/edit?gid=1513765949#gid=1513765949"",""1-12每月!$G9"")"),10548.0)</f>
        <v>10548</v>
      </c>
      <c r="AN9" s="114"/>
      <c r="AO9" s="114"/>
      <c r="AP9" s="114"/>
      <c r="AQ9" s="114"/>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IFERROR(__xludf.DUMMYFUNCTION("IMPORTRANGE(""https://docs.google.com/spreadsheets/d/1dffLfsI-BGVz-K0zdrsWfGaqrFfoLJAhq001merp6Rk/edit?usp=sharing"",""1-12每月!$E10"")"),19494.0)</f>
        <v>19494</v>
      </c>
      <c r="N10" s="83">
        <f>IFERROR(__xludf.DUMMYFUNCTION("IMPORTRANGE(""https://docs.google.com/spreadsheets/d/1SzxpZPUDnwxS8mSOLGEH5NbWU7ZW_VcRmIn7psOvuTs/edit#gid=1650312294?usp=sharing"",""1-12每月!$E10"")"),17817.0)</f>
        <v>17817</v>
      </c>
      <c r="O10" s="83">
        <f>IFERROR(__xludf.DUMMYFUNCTION("IMPORTRANGE(""https://docs.google.com/spreadsheets/d/1ta9i7cAkOPF0LapwmU_YEDA4IPQvKNuaYVMY8vIVPwI/edit#gid=1607741572?usp=sharing"",""1-12每月!$E10"")"),18620.0)</f>
        <v>18620</v>
      </c>
      <c r="P10" s="83">
        <f>IFERROR(__xludf.DUMMYFUNCTION("IMPORTRANGE(""https://docs.google.com/spreadsheets/d/1f4WWQfcNBonYqfzcaBhJlHzPwh34sx4U6naz-Aw2G4I/edit#gid=2097425894?usp=sharing"",""1-12每月!$G10"")"),9638.0)</f>
        <v>9638</v>
      </c>
      <c r="Q10" s="83">
        <f>IFERROR(__xludf.DUMMYFUNCTION("IMPORTRANGE(""https://docs.google.com/spreadsheets/d/1pCmmgCj7Y_SQPZLsiVd3yvND9oLyryVfBwNxC6OUwm8/edit#gid=170549058?usp=sharing"",""1-12每月!$G10"")"),17838.0)</f>
        <v>17838</v>
      </c>
      <c r="R10" s="83">
        <f>IFERROR(__xludf.DUMMYFUNCTION("IMPORTRANGE(""https://docs.google.com/spreadsheets/d/1hrRqxxacrLITR_JGMRVbhSRCIZIU8gAv0o_aOkHz68M/edit#gid=763155734?usp=sharing"",""1-12每月!$G10"")"),13907.0)</f>
        <v>13907</v>
      </c>
      <c r="S10" s="83">
        <f>IFERROR(__xludf.DUMMYFUNCTION("IMPORTRANGE(""https://docs.google.com/spreadsheets/d/1AKS3XWcgwNLFRbGU-lJ3UBHDQNdglvKwrv4_Bpp1IjU/edit#gid=73116376?usp=sharing"",""1-12每月!$F10"")"),12310.0)</f>
        <v>12310</v>
      </c>
      <c r="T10" s="83">
        <f>IFERROR(__xludf.DUMMYFUNCTION("IMPORTRANGE(""https://docs.google.com/spreadsheets/d/1wGGXGHkWT5JsjUDTy4FnHN_O9ae4MADbMykqIWVThNc/edit#gid=297806252?usp=sharing"",""1-12每月!$F10"")"),12329.0)</f>
        <v>12329</v>
      </c>
      <c r="U10" s="83">
        <f>IFERROR(__xludf.DUMMYFUNCTION("IMPORTRANGE(""https://docs.google.com/spreadsheets/d/1ShTgtQQDjMKpYx-TJ_lwdxnWSzJNUcNnzR3fJjoaZec/edit#gid=66107904?usp=sharing"",""1-12每月!$F10"")"),11138.0)</f>
        <v>11138</v>
      </c>
      <c r="V10" s="83">
        <f>IFERROR(__xludf.DUMMYFUNCTION("IMPORTRANGE(""https://docs.google.com/spreadsheets/d/1_eyuyKbXFCJd6fVFEKQwugwYCbRCmmWN_M7XR1dtOb8/edit#gid=951918895?usp=sharing"",""1-12每月!$F10"")"),19692.0)</f>
        <v>19692</v>
      </c>
      <c r="W10" s="83">
        <f>IFERROR(__xludf.DUMMYFUNCTION("IMPORTRANGE(""https://docs.google.com/spreadsheets/d/1yEpHI9_Y4w8sRmPP9C-mYK4NMfVuTJifGLMj4FMdqek/edit#gid=799087919?usp=sharing"",""1-12每月!$F10"")"),7646.0)</f>
        <v>7646</v>
      </c>
      <c r="X10" s="83">
        <f>IFERROR(__xludf.DUMMYFUNCTION("IMPORTRANGE(""https://docs.google.com/spreadsheets/d/1Vbyb9GlrY6jOwvoGyZFB96f7WXYjkT6gvTE37DPDXDI/edit#gid=9591526?usp=sharing"",""1-12每月!$F10"")"),6713.0)</f>
        <v>6713</v>
      </c>
      <c r="Y10" s="83">
        <f>IFERROR(__xludf.DUMMYFUNCTION("IMPORTRANGE(""https://docs.google.com/spreadsheets/d/1qeckoJwzWQAg8zQ80D-QJP4pnVYH6l2juaUyHtOu6y8/edit#gid=1905704096?usp=sharing"",""1-12每月!$F10"")"),4768.0)</f>
        <v>4768</v>
      </c>
      <c r="Z10" s="83">
        <f>IFERROR(__xludf.DUMMYFUNCTION("IMPORTRANGE(""https://docs.google.com/spreadsheets/d/1BcbIi7AD1VDpy_wMQ0YjCG-iuQy0_tkCVqr72a0Pwbg/edit#gid=1099513714?usp=sharing"",""1-12每月!$F10"")"),7354.0)</f>
        <v>7354</v>
      </c>
      <c r="AA10" s="83">
        <f>IFERROR(__xludf.DUMMYFUNCTION("IMPORTRANGE(""https://docs.google.com/spreadsheets/d/1cIFCQPaYiOmIt2O3vkEx5eto8sfRtx3JtAWJ1fv31HI/edit#gid=432689709?usp=sharing"",""1-12每月!$F10"")"),7434.0)</f>
        <v>7434</v>
      </c>
      <c r="AB10" s="83">
        <f>IFERROR(__xludf.DUMMYFUNCTION("IMPORTRANGE(""https://docs.google.com/spreadsheets/d/1C8ECYlbes2CJkHHGOAyOYVfrP7PdlGr8RMjK7KZd0_o/edit#gid=495469277?usp=sharing"",""1-12每月!$F10"")"),7390.0)</f>
        <v>7390</v>
      </c>
      <c r="AC10" s="83">
        <f>IFERROR(__xludf.DUMMYFUNCTION("IMPORTRANGE(""https://docs.google.com/spreadsheets/d/1ettcrhLPK6tkvHZxDTyU2bGIpGSi2ynG91ln0fqz9iE/edit#gid=1364213386?usp=sharing"",""1-12每月!$G10"")"),5643.0)</f>
        <v>5643</v>
      </c>
      <c r="AD10" s="83">
        <f>IFERROR(__xludf.DUMMYFUNCTION("IMPORTRANGE(""https://docs.google.com/spreadsheets/d/1xUhm-MtqzfUO8M5WEWVv9w2EFkv5_PHMOsAlA3CcCWU/edit#gid=1700470961?usp=sharing"",""1-12每月!$G10"")"),3950.0)</f>
        <v>3950</v>
      </c>
      <c r="AE10" s="83">
        <f>IFERROR(__xludf.DUMMYFUNCTION("IMPORTRANGE(""https://docs.google.com/spreadsheets/d/1DP8wl0QQLYSZ8R2aQ8wNmiAUXn7lVrqMsdTccpBmnQc/edit#gid=1145593933?usp=sharing"",""1-12每月!$G10"")"),6768.100000000001)</f>
        <v>6768.1</v>
      </c>
      <c r="AF10" s="83">
        <f>IFERROR(__xludf.DUMMYFUNCTION("IMPORTRANGE(""https://docs.google.com/spreadsheets/d/17hbKAHrpKLEbG3r9s1Ay3fOGzvOBzSu3Bn_CD4JNLhY/edit#gid=756408948?usp=sharing"",""1-12每月!$G10"")"),10270.63)</f>
        <v>10270.63</v>
      </c>
      <c r="AG10" s="83">
        <f>IFERROR(__xludf.DUMMYFUNCTION("IMPORTRANGE(""https://docs.google.com/spreadsheets/d/1qeecSCKZ78ENQrsyUYpSNZqvo0-Y-uuGKFA1F06yLEM/edit#gid=874445072?usp=sharing"",""1-12每月!$G10"")"),10788.0)</f>
        <v>10788</v>
      </c>
      <c r="AH10" s="83">
        <f>IFERROR(__xludf.DUMMYFUNCTION("IMPORTRANGE(""https://docs.google.com/spreadsheets/d/1BSX0y1fIKw9-3VTr627UzGVjwKe74kwBkuFnvlaueNo/edit#gid=1113655470"",""1-12每月!$G10"")"),0.0)</f>
        <v>0</v>
      </c>
      <c r="AI10" s="83">
        <f>IFERROR(__xludf.DUMMYFUNCTION("IMPORTRANGE(""https://docs.google.com/spreadsheets/d/1bQzlrSGiVqBrfQ6FKnw67vhBELFgthonryGzmQabVFQ/edit#gid=1015697053?usp=sharing"",""1-12每月!$G10"")"),4430.0)</f>
        <v>4430</v>
      </c>
      <c r="AJ10" s="83">
        <f>IFERROR(__xludf.DUMMYFUNCTION("IMPORTRANGE(""https://docs.google.com/spreadsheets/d/1Pem-mgCz4CF6EUKNVxDQx16g9jie0F5YNDQ_cPnMHYs?usp=sharing"",""1-12每月!$G10"")"),1335.0)</f>
        <v>1335</v>
      </c>
      <c r="AK10" s="83">
        <f>IFERROR(__xludf.DUMMYFUNCTION("IMPORTRANGE(""https://docs.google.com/spreadsheets/d/1ZoRtUl0m9T3TpY8H-9-ntNBO_zrYrgNKuAe_XfTeFnU"",""1-12每月!$G10"")"),13512.0)</f>
        <v>13512</v>
      </c>
      <c r="AL10" s="83">
        <f>IFERROR(__xludf.DUMMYFUNCTION("IMPORTRANGE(""https://docs.google.com/spreadsheets/d/1Y9Uv46r1nA3ixCGwTWZqhGQWDt4KVX4iXmhJgHL5CGQ"",""1-12每月!$G10"")"),13447.0)</f>
        <v>13447</v>
      </c>
      <c r="AM10" s="83">
        <f>IFERROR(__xludf.DUMMYFUNCTION("IMPORTRANGE(""https://docs.google.com/spreadsheets/d/1E3X732-CKfouAVQOwKyrePWwI1Bwg9NHD0VD42lyiu4/edit?gid=1513765949#gid=1513765949"",""1-12每月!$G10"")"),10430.0)</f>
        <v>10430</v>
      </c>
      <c r="AN10" s="115"/>
      <c r="AO10" s="115"/>
      <c r="AP10" s="115"/>
      <c r="AQ10" s="115"/>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IFERROR(__xludf.DUMMYFUNCTION("IMPORTRANGE(""https://docs.google.com/spreadsheets/d/1dffLfsI-BGVz-K0zdrsWfGaqrFfoLJAhq001merp6Rk/edit?usp=sharing"",""1-12每月!$E11"")"),28506.0)</f>
        <v>28506</v>
      </c>
      <c r="N11" s="83">
        <f>IFERROR(__xludf.DUMMYFUNCTION("IMPORTRANGE(""https://docs.google.com/spreadsheets/d/1SzxpZPUDnwxS8mSOLGEH5NbWU7ZW_VcRmIn7psOvuTs/edit#gid=1650312294?usp=sharing"",""1-12每月!$E11"")"),26039.0)</f>
        <v>26039</v>
      </c>
      <c r="O11" s="83">
        <f>IFERROR(__xludf.DUMMYFUNCTION("IMPORTRANGE(""https://docs.google.com/spreadsheets/d/1ta9i7cAkOPF0LapwmU_YEDA4IPQvKNuaYVMY8vIVPwI/edit#gid=1607741572?usp=sharing"",""1-12每月!$E11"")"),29546.0)</f>
        <v>29546</v>
      </c>
      <c r="P11" s="83">
        <f>IFERROR(__xludf.DUMMYFUNCTION("IMPORTRANGE(""https://docs.google.com/spreadsheets/d/1f4WWQfcNBonYqfzcaBhJlHzPwh34sx4U6naz-Aw2G4I/edit#gid=2097425894?usp=sharing"",""1-12每月!$G11"")"),36569.0)</f>
        <v>36569</v>
      </c>
      <c r="Q11" s="83">
        <f>IFERROR(__xludf.DUMMYFUNCTION("IMPORTRANGE(""https://docs.google.com/spreadsheets/d/1pCmmgCj7Y_SQPZLsiVd3yvND9oLyryVfBwNxC6OUwm8/edit#gid=170549058?usp=sharing"",""1-12每月!$G11"")"),24688.0)</f>
        <v>24688</v>
      </c>
      <c r="R11" s="83">
        <f>IFERROR(__xludf.DUMMYFUNCTION("IMPORTRANGE(""https://docs.google.com/spreadsheets/d/1hrRqxxacrLITR_JGMRVbhSRCIZIU8gAv0o_aOkHz68M/edit#gid=763155734?usp=sharing"",""1-12每月!$G11"")"),21049.0)</f>
        <v>21049</v>
      </c>
      <c r="S11" s="83">
        <f>IFERROR(__xludf.DUMMYFUNCTION("IMPORTRANGE(""https://docs.google.com/spreadsheets/d/1AKS3XWcgwNLFRbGU-lJ3UBHDQNdglvKwrv4_Bpp1IjU/edit#gid=73116376?usp=sharing"",""1-12每月!$F11"")"),21006.0)</f>
        <v>21006</v>
      </c>
      <c r="T11" s="83">
        <f>IFERROR(__xludf.DUMMYFUNCTION("IMPORTRANGE(""https://docs.google.com/spreadsheets/d/1wGGXGHkWT5JsjUDTy4FnHN_O9ae4MADbMykqIWVThNc/edit#gid=297806252?usp=sharing"",""1-12每月!$F11"")"),16798.0)</f>
        <v>16798</v>
      </c>
      <c r="U11" s="83">
        <f>IFERROR(__xludf.DUMMYFUNCTION("IMPORTRANGE(""https://docs.google.com/spreadsheets/d/1ShTgtQQDjMKpYx-TJ_lwdxnWSzJNUcNnzR3fJjoaZec/edit#gid=66107904?usp=sharing"",""1-12每月!$F11"")"),18191.0)</f>
        <v>18191</v>
      </c>
      <c r="V11" s="83">
        <f>IFERROR(__xludf.DUMMYFUNCTION("IMPORTRANGE(""https://docs.google.com/spreadsheets/d/1_eyuyKbXFCJd6fVFEKQwugwYCbRCmmWN_M7XR1dtOb8/edit#gid=951918895?usp=sharing"",""1-12每月!$F11"")"),22092.0)</f>
        <v>22092</v>
      </c>
      <c r="W11" s="83">
        <f>IFERROR(__xludf.DUMMYFUNCTION("IMPORTRANGE(""https://docs.google.com/spreadsheets/d/1yEpHI9_Y4w8sRmPP9C-mYK4NMfVuTJifGLMj4FMdqek/edit#gid=799087919?usp=sharing"",""1-12每月!$F11"")"),14626.0)</f>
        <v>14626</v>
      </c>
      <c r="X11" s="83">
        <f>IFERROR(__xludf.DUMMYFUNCTION("IMPORTRANGE(""https://docs.google.com/spreadsheets/d/1Vbyb9GlrY6jOwvoGyZFB96f7WXYjkT6gvTE37DPDXDI/edit#gid=9591526?usp=sharing"",""1-12每月!$F11"")"),14826.0)</f>
        <v>14826</v>
      </c>
      <c r="Y11" s="83">
        <f>IFERROR(__xludf.DUMMYFUNCTION("IMPORTRANGE(""https://docs.google.com/spreadsheets/d/1qeckoJwzWQAg8zQ80D-QJP4pnVYH6l2juaUyHtOu6y8/edit#gid=1905704096?usp=sharing"",""1-12每月!$F11"")"),11369.0)</f>
        <v>11369</v>
      </c>
      <c r="Z11" s="83">
        <f>IFERROR(__xludf.DUMMYFUNCTION("IMPORTRANGE(""https://docs.google.com/spreadsheets/d/1BcbIi7AD1VDpy_wMQ0YjCG-iuQy0_tkCVqr72a0Pwbg/edit#gid=1099513714?usp=sharing"",""1-12每月!$F11"")"),10474.0)</f>
        <v>10474</v>
      </c>
      <c r="AA11" s="83">
        <f>IFERROR(__xludf.DUMMYFUNCTION("IMPORTRANGE(""https://docs.google.com/spreadsheets/d/1cIFCQPaYiOmIt2O3vkEx5eto8sfRtx3JtAWJ1fv31HI/edit#gid=432689709?usp=sharing"",""1-12每月!$F11"")"),11788.0)</f>
        <v>11788</v>
      </c>
      <c r="AB11" s="83">
        <f>IFERROR(__xludf.DUMMYFUNCTION("IMPORTRANGE(""https://docs.google.com/spreadsheets/d/1C8ECYlbes2CJkHHGOAyOYVfrP7PdlGr8RMjK7KZd0_o/edit#gid=495469277?usp=sharing"",""1-12每月!$F11"")"),12586.0)</f>
        <v>12586</v>
      </c>
      <c r="AC11" s="83">
        <f>IFERROR(__xludf.DUMMYFUNCTION("IMPORTRANGE(""https://docs.google.com/spreadsheets/d/1ettcrhLPK6tkvHZxDTyU2bGIpGSi2ynG91ln0fqz9iE/edit#gid=1364213386?usp=sharing"",""1-12每月!$G11"")"),6079.0)</f>
        <v>6079</v>
      </c>
      <c r="AD11" s="83">
        <f>IFERROR(__xludf.DUMMYFUNCTION("IMPORTRANGE(""https://docs.google.com/spreadsheets/d/1xUhm-MtqzfUO8M5WEWVv9w2EFkv5_PHMOsAlA3CcCWU/edit#gid=1700470961?usp=sharing"",""1-12每月!$G11"")"),5565.0)</f>
        <v>5565</v>
      </c>
      <c r="AE11" s="83">
        <f>IFERROR(__xludf.DUMMYFUNCTION("IMPORTRANGE(""https://docs.google.com/spreadsheets/d/1DP8wl0QQLYSZ8R2aQ8wNmiAUXn7lVrqMsdTccpBmnQc/edit#gid=1145593933?usp=sharing"",""1-12每月!$G11"")"),10231.0)</f>
        <v>10231</v>
      </c>
      <c r="AF11" s="83">
        <f>IFERROR(__xludf.DUMMYFUNCTION("IMPORTRANGE(""https://docs.google.com/spreadsheets/d/17hbKAHrpKLEbG3r9s1Ay3fOGzvOBzSu3Bn_CD4JNLhY/edit#gid=756408948?usp=sharing"",""1-12每月!$G11"")"),11551.490000000002)</f>
        <v>11551.49</v>
      </c>
      <c r="AG11" s="83">
        <f>IFERROR(__xludf.DUMMYFUNCTION("IMPORTRANGE(""https://docs.google.com/spreadsheets/d/1qeecSCKZ78ENQrsyUYpSNZqvo0-Y-uuGKFA1F06yLEM/edit#gid=874445072?usp=sharing"",""1-12每月!$G11"")"),18211.0)</f>
        <v>18211</v>
      </c>
      <c r="AH11" s="83">
        <f>IFERROR(__xludf.DUMMYFUNCTION("IMPORTRANGE(""https://docs.google.com/spreadsheets/d/1BSX0y1fIKw9-3VTr627UzGVjwKe74kwBkuFnvlaueNo/edit#gid=1113655470"",""1-12每月!$G11"")"),1311.0)</f>
        <v>1311</v>
      </c>
      <c r="AI11" s="83">
        <f>IFERROR(__xludf.DUMMYFUNCTION("IMPORTRANGE(""https://docs.google.com/spreadsheets/d/1bQzlrSGiVqBrfQ6FKnw67vhBELFgthonryGzmQabVFQ/edit#gid=1015697053?usp=sharing"",""1-12每月!$G11"")"),9290.0)</f>
        <v>9290</v>
      </c>
      <c r="AJ11" s="83">
        <f>IFERROR(__xludf.DUMMYFUNCTION("IMPORTRANGE(""https://docs.google.com/spreadsheets/d/1Pem-mgCz4CF6EUKNVxDQx16g9jie0F5YNDQ_cPnMHYs?usp=sharing"",""1-12每月!$G11"")"),4164.0)</f>
        <v>4164</v>
      </c>
      <c r="AK11" s="83">
        <f>IFERROR(__xludf.DUMMYFUNCTION("IMPORTRANGE(""https://docs.google.com/spreadsheets/d/1ZoRtUl0m9T3TpY8H-9-ntNBO_zrYrgNKuAe_XfTeFnU"",""1-12每月!$G11"")"),15223.0)</f>
        <v>15223</v>
      </c>
      <c r="AL11" s="83">
        <f>IFERROR(__xludf.DUMMYFUNCTION("IMPORTRANGE(""https://docs.google.com/spreadsheets/d/1Y9Uv46r1nA3ixCGwTWZqhGQWDt4KVX4iXmhJgHL5CGQ"",""1-12每月!$G11"")"),14497.0)</f>
        <v>14497</v>
      </c>
      <c r="AM11" s="83">
        <f>IFERROR(__xludf.DUMMYFUNCTION("IMPORTRANGE(""https://docs.google.com/spreadsheets/d/1E3X732-CKfouAVQOwKyrePWwI1Bwg9NHD0VD42lyiu4/edit?gid=1513765949#gid=1513765949"",""1-12每月!$G11"")"),0.0)</f>
        <v>0</v>
      </c>
      <c r="AN11" s="115"/>
      <c r="AO11" s="115"/>
      <c r="AP11" s="115"/>
      <c r="AQ11" s="115"/>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IFERROR(__xludf.DUMMYFUNCTION("IMPORTRANGE(""https://docs.google.com/spreadsheets/d/1dffLfsI-BGVz-K0zdrsWfGaqrFfoLJAhq001merp6Rk/edit?usp=sharing"",""1-12每月!$E12"")"),18960.0)</f>
        <v>18960</v>
      </c>
      <c r="N12" s="83">
        <f>IFERROR(__xludf.DUMMYFUNCTION("IMPORTRANGE(""https://docs.google.com/spreadsheets/d/1SzxpZPUDnwxS8mSOLGEH5NbWU7ZW_VcRmIn7psOvuTs/edit#gid=1650312294?usp=sharing"",""1-12每月!$E12"")"),20701.0)</f>
        <v>20701</v>
      </c>
      <c r="O12" s="83">
        <f>IFERROR(__xludf.DUMMYFUNCTION("IMPORTRANGE(""https://docs.google.com/spreadsheets/d/1ta9i7cAkOPF0LapwmU_YEDA4IPQvKNuaYVMY8vIVPwI/edit#gid=1607741572?usp=sharing"",""1-12每月!$E12"")"),21268.0)</f>
        <v>21268</v>
      </c>
      <c r="P12" s="83">
        <f>IFERROR(__xludf.DUMMYFUNCTION("IMPORTRANGE(""https://docs.google.com/spreadsheets/d/1f4WWQfcNBonYqfzcaBhJlHzPwh34sx4U6naz-Aw2G4I/edit#gid=2097425894?usp=sharing"",""1-12每月!$G12"")"),30449.0)</f>
        <v>30449</v>
      </c>
      <c r="Q12" s="83">
        <f>IFERROR(__xludf.DUMMYFUNCTION("IMPORTRANGE(""https://docs.google.com/spreadsheets/d/1pCmmgCj7Y_SQPZLsiVd3yvND9oLyryVfBwNxC6OUwm8/edit#gid=170549058?usp=sharing"",""1-12每月!$G12"")"),20590.0)</f>
        <v>20590</v>
      </c>
      <c r="R12" s="83">
        <f>IFERROR(__xludf.DUMMYFUNCTION("IMPORTRANGE(""https://docs.google.com/spreadsheets/d/1hrRqxxacrLITR_JGMRVbhSRCIZIU8gAv0o_aOkHz68M/edit#gid=763155734?usp=sharing"",""1-12每月!$G12"")"),13530.0)</f>
        <v>13530</v>
      </c>
      <c r="S12" s="83">
        <f>IFERROR(__xludf.DUMMYFUNCTION("IMPORTRANGE(""https://docs.google.com/spreadsheets/d/1AKS3XWcgwNLFRbGU-lJ3UBHDQNdglvKwrv4_Bpp1IjU/edit#gid=73116376?usp=sharing"",""1-12每月!$F12"")"),16140.0)</f>
        <v>16140</v>
      </c>
      <c r="T12" s="83">
        <f>IFERROR(__xludf.DUMMYFUNCTION("IMPORTRANGE(""https://docs.google.com/spreadsheets/d/1wGGXGHkWT5JsjUDTy4FnHN_O9ae4MADbMykqIWVThNc/edit#gid=297806252?usp=sharing"",""1-12每月!$F12"")"),7401.0)</f>
        <v>7401</v>
      </c>
      <c r="U12" s="83">
        <f>IFERROR(__xludf.DUMMYFUNCTION("IMPORTRANGE(""https://docs.google.com/spreadsheets/d/1ShTgtQQDjMKpYx-TJ_lwdxnWSzJNUcNnzR3fJjoaZec/edit#gid=66107904?usp=sharing"",""1-12每月!$F12"")"),12893.0)</f>
        <v>12893</v>
      </c>
      <c r="V12" s="83">
        <f>IFERROR(__xludf.DUMMYFUNCTION("IMPORTRANGE(""https://docs.google.com/spreadsheets/d/1_eyuyKbXFCJd6fVFEKQwugwYCbRCmmWN_M7XR1dtOb8/edit#gid=951918895?usp=sharing"",""1-12每月!$F12"")"),8897.0)</f>
        <v>8897</v>
      </c>
      <c r="W12" s="83">
        <f>IFERROR(__xludf.DUMMYFUNCTION("IMPORTRANGE(""https://docs.google.com/spreadsheets/d/1yEpHI9_Y4w8sRmPP9C-mYK4NMfVuTJifGLMj4FMdqek/edit#gid=799087919?usp=sharing"",""1-12每月!$F12"")"),13204.0)</f>
        <v>13204</v>
      </c>
      <c r="X12" s="83">
        <f>IFERROR(__xludf.DUMMYFUNCTION("IMPORTRANGE(""https://docs.google.com/spreadsheets/d/1Vbyb9GlrY6jOwvoGyZFB96f7WXYjkT6gvTE37DPDXDI/edit#gid=9591526?usp=sharing"",""1-12每月!$F12"")"),9575.0)</f>
        <v>9575</v>
      </c>
      <c r="Y12" s="83">
        <f>IFERROR(__xludf.DUMMYFUNCTION("IMPORTRANGE(""https://docs.google.com/spreadsheets/d/1qeckoJwzWQAg8zQ80D-QJP4pnVYH6l2juaUyHtOu6y8/edit#gid=1905704096?usp=sharing"",""1-12每月!$F12"")"),6716.0)</f>
        <v>6716</v>
      </c>
      <c r="Z12" s="83">
        <f>IFERROR(__xludf.DUMMYFUNCTION("IMPORTRANGE(""https://docs.google.com/spreadsheets/d/1BcbIi7AD1VDpy_wMQ0YjCG-iuQy0_tkCVqr72a0Pwbg/edit#gid=1099513714?usp=sharing"",""1-12每月!$F12"")"),10446.0)</f>
        <v>10446</v>
      </c>
      <c r="AA12" s="83">
        <f>IFERROR(__xludf.DUMMYFUNCTION("IMPORTRANGE(""https://docs.google.com/spreadsheets/d/1cIFCQPaYiOmIt2O3vkEx5eto8sfRtx3JtAWJ1fv31HI/edit#gid=432689709?usp=sharing"",""1-12每月!$F12"")"),11353.0)</f>
        <v>11353</v>
      </c>
      <c r="AB12" s="83">
        <f>IFERROR(__xludf.DUMMYFUNCTION("IMPORTRANGE(""https://docs.google.com/spreadsheets/d/1C8ECYlbes2CJkHHGOAyOYVfrP7PdlGr8RMjK7KZd0_o/edit#gid=495469277?usp=sharing"",""1-12每月!$F12"")"),8328.0)</f>
        <v>8328</v>
      </c>
      <c r="AC12" s="83">
        <f>IFERROR(__xludf.DUMMYFUNCTION("IMPORTRANGE(""https://docs.google.com/spreadsheets/d/1ettcrhLPK6tkvHZxDTyU2bGIpGSi2ynG91ln0fqz9iE/edit#gid=1364213386?usp=sharing"",""1-12每月!$G12"")"),5469.0)</f>
        <v>5469</v>
      </c>
      <c r="AD12" s="83">
        <f>IFERROR(__xludf.DUMMYFUNCTION("IMPORTRANGE(""https://docs.google.com/spreadsheets/d/1xUhm-MtqzfUO8M5WEWVv9w2EFkv5_PHMOsAlA3CcCWU/edit#gid=1700470961?usp=sharing"",""1-12每月!$G12"")"),6800.0)</f>
        <v>6800</v>
      </c>
      <c r="AE12" s="83">
        <f>IFERROR(__xludf.DUMMYFUNCTION("IMPORTRANGE(""https://docs.google.com/spreadsheets/d/1DP8wl0QQLYSZ8R2aQ8wNmiAUXn7lVrqMsdTccpBmnQc/edit#gid=1145593933?usp=sharing"",""1-12每月!$G12"")"),9854.0)</f>
        <v>9854</v>
      </c>
      <c r="AF12" s="83">
        <f>IFERROR(__xludf.DUMMYFUNCTION("IMPORTRANGE(""https://docs.google.com/spreadsheets/d/17hbKAHrpKLEbG3r9s1Ay3fOGzvOBzSu3Bn_CD4JNLhY/edit#gid=756408948?usp=sharing"",""1-12每月!$G12"")"),9482.0)</f>
        <v>9482</v>
      </c>
      <c r="AG12" s="83">
        <f>IFERROR(__xludf.DUMMYFUNCTION("IMPORTRANGE(""https://docs.google.com/spreadsheets/d/1qeecSCKZ78ENQrsyUYpSNZqvo0-Y-uuGKFA1F06yLEM/edit#gid=874445072?usp=sharing"",""1-12每月!$G12"")"),16908.0)</f>
        <v>16908</v>
      </c>
      <c r="AH12" s="83">
        <f>IFERROR(__xludf.DUMMYFUNCTION("IMPORTRANGE(""https://docs.google.com/spreadsheets/d/1BSX0y1fIKw9-3VTr627UzGVjwKe74kwBkuFnvlaueNo/edit#gid=1113655470"",""1-12每月!$G12"")"),5760.0)</f>
        <v>5760</v>
      </c>
      <c r="AI12" s="83">
        <f>IFERROR(__xludf.DUMMYFUNCTION("IMPORTRANGE(""https://docs.google.com/spreadsheets/d/1bQzlrSGiVqBrfQ6FKnw67vhBELFgthonryGzmQabVFQ/edit#gid=1015697053?usp=sharing"",""1-12每月!$G12"")"),6508.0)</f>
        <v>6508</v>
      </c>
      <c r="AJ12" s="83">
        <f>IFERROR(__xludf.DUMMYFUNCTION("IMPORTRANGE(""https://docs.google.com/spreadsheets/d/1Pem-mgCz4CF6EUKNVxDQx16g9jie0F5YNDQ_cPnMHYs?usp=sharing"",""1-12每月!$G12"")"),5167.0)</f>
        <v>5167</v>
      </c>
      <c r="AK12" s="83">
        <f>IFERROR(__xludf.DUMMYFUNCTION("IMPORTRANGE(""https://docs.google.com/spreadsheets/d/1ZoRtUl0m9T3TpY8H-9-ntNBO_zrYrgNKuAe_XfTeFnU"",""1-12每月!$G12"")"),16287.0)</f>
        <v>16287</v>
      </c>
      <c r="AL12" s="83">
        <f>IFERROR(__xludf.DUMMYFUNCTION("IMPORTRANGE(""https://docs.google.com/spreadsheets/d/1Y9Uv46r1nA3ixCGwTWZqhGQWDt4KVX4iXmhJgHL5CGQ"",""1-12每月!$G12"")"),18311.0)</f>
        <v>18311</v>
      </c>
      <c r="AM12" s="83">
        <f>IFERROR(__xludf.DUMMYFUNCTION("IMPORTRANGE(""https://docs.google.com/spreadsheets/d/1E3X732-CKfouAVQOwKyrePWwI1Bwg9NHD0VD42lyiu4/edit?gid=1513765949#gid=1513765949"",""1-12每月!$G12"")"),0.0)</f>
        <v>0</v>
      </c>
      <c r="AN12" s="115"/>
      <c r="AO12" s="115"/>
      <c r="AP12" s="115"/>
      <c r="AQ12" s="115"/>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IFERROR(__xludf.DUMMYFUNCTION("IMPORTRANGE(""https://docs.google.com/spreadsheets/d/1dffLfsI-BGVz-K0zdrsWfGaqrFfoLJAhq001merp6Rk/edit?usp=sharing"",""1-12每月!$E13"")"),16866.0)</f>
        <v>16866</v>
      </c>
      <c r="N13" s="83">
        <f>IFERROR(__xludf.DUMMYFUNCTION("IMPORTRANGE(""https://docs.google.com/spreadsheets/d/1SzxpZPUDnwxS8mSOLGEH5NbWU7ZW_VcRmIn7psOvuTs/edit#gid=1650312294?usp=sharing"",""1-12每月!$E13"")"),19019.0)</f>
        <v>19019</v>
      </c>
      <c r="O13" s="83">
        <f>IFERROR(__xludf.DUMMYFUNCTION("IMPORTRANGE(""https://docs.google.com/spreadsheets/d/1ta9i7cAkOPF0LapwmU_YEDA4IPQvKNuaYVMY8vIVPwI/edit#gid=1607741572?usp=sharing"",""1-12每月!$E13"")"),12616.0)</f>
        <v>12616</v>
      </c>
      <c r="P13" s="83">
        <f>IFERROR(__xludf.DUMMYFUNCTION("IMPORTRANGE(""https://docs.google.com/spreadsheets/d/1f4WWQfcNBonYqfzcaBhJlHzPwh34sx4U6naz-Aw2G4I/edit#gid=2097425894?usp=sharing"",""1-12每月!$G13"")"),22257.0)</f>
        <v>22257</v>
      </c>
      <c r="Q13" s="83">
        <f>IFERROR(__xludf.DUMMYFUNCTION("IMPORTRANGE(""https://docs.google.com/spreadsheets/d/1pCmmgCj7Y_SQPZLsiVd3yvND9oLyryVfBwNxC6OUwm8/edit#gid=170549058?usp=sharing"",""1-12每月!$G13"")"),13268.0)</f>
        <v>13268</v>
      </c>
      <c r="R13" s="83">
        <f>IFERROR(__xludf.DUMMYFUNCTION("IMPORTRANGE(""https://docs.google.com/spreadsheets/d/1hrRqxxacrLITR_JGMRVbhSRCIZIU8gAv0o_aOkHz68M/edit#gid=763155734?usp=sharing"",""1-12每月!$G13"")"),12340.0)</f>
        <v>12340</v>
      </c>
      <c r="S13" s="83">
        <f>IFERROR(__xludf.DUMMYFUNCTION("IMPORTRANGE(""https://docs.google.com/spreadsheets/d/1AKS3XWcgwNLFRbGU-lJ3UBHDQNdglvKwrv4_Bpp1IjU/edit#gid=73116376?usp=sharing"",""1-12每月!$F13"")"),11518.0)</f>
        <v>11518</v>
      </c>
      <c r="T13" s="83">
        <f>IFERROR(__xludf.DUMMYFUNCTION("IMPORTRANGE(""https://docs.google.com/spreadsheets/d/1wGGXGHkWT5JsjUDTy4FnHN_O9ae4MADbMykqIWVThNc/edit#gid=297806252?usp=sharing"",""1-12每月!$F13"")"),10830.0)</f>
        <v>10830</v>
      </c>
      <c r="U13" s="83">
        <f>IFERROR(__xludf.DUMMYFUNCTION("IMPORTRANGE(""https://docs.google.com/spreadsheets/d/1ShTgtQQDjMKpYx-TJ_lwdxnWSzJNUcNnzR3fJjoaZec/edit#gid=66107904?usp=sharing"",""1-12每月!$F13"")"),5032.0)</f>
        <v>5032</v>
      </c>
      <c r="V13" s="83">
        <f>IFERROR(__xludf.DUMMYFUNCTION("IMPORTRANGE(""https://docs.google.com/spreadsheets/d/1_eyuyKbXFCJd6fVFEKQwugwYCbRCmmWN_M7XR1dtOb8/edit#gid=951918895?usp=sharing"",""1-12每月!$F13"")"),6326.0)</f>
        <v>6326</v>
      </c>
      <c r="W13" s="83">
        <f>IFERROR(__xludf.DUMMYFUNCTION("IMPORTRANGE(""https://docs.google.com/spreadsheets/d/1yEpHI9_Y4w8sRmPP9C-mYK4NMfVuTJifGLMj4FMdqek/edit#gid=799087919?usp=sharing"",""1-12每月!$F13"")"),6502.0)</f>
        <v>6502</v>
      </c>
      <c r="X13" s="83">
        <f>IFERROR(__xludf.DUMMYFUNCTION("IMPORTRANGE(""https://docs.google.com/spreadsheets/d/1Vbyb9GlrY6jOwvoGyZFB96f7WXYjkT6gvTE37DPDXDI/edit#gid=9591526?usp=sharing"",""1-12每月!$F13"")"),9664.0)</f>
        <v>9664</v>
      </c>
      <c r="Y13" s="83">
        <f>IFERROR(__xludf.DUMMYFUNCTION("IMPORTRANGE(""https://docs.google.com/spreadsheets/d/1qeckoJwzWQAg8zQ80D-QJP4pnVYH6l2juaUyHtOu6y8/edit#gid=1905704096?usp=sharing"",""1-12每月!$F13"")"),6992.0)</f>
        <v>6992</v>
      </c>
      <c r="Z13" s="83">
        <f>IFERROR(__xludf.DUMMYFUNCTION("IMPORTRANGE(""https://docs.google.com/spreadsheets/d/1BcbIi7AD1VDpy_wMQ0YjCG-iuQy0_tkCVqr72a0Pwbg/edit#gid=1099513714?usp=sharing"",""1-12每月!$F13"")"),6034.0)</f>
        <v>6034</v>
      </c>
      <c r="AA13" s="83">
        <f>IFERROR(__xludf.DUMMYFUNCTION("IMPORTRANGE(""https://docs.google.com/spreadsheets/d/1cIFCQPaYiOmIt2O3vkEx5eto8sfRtx3JtAWJ1fv31HI/edit#gid=432689709?usp=sharing"",""1-12每月!$F13"")"),6810.0)</f>
        <v>6810</v>
      </c>
      <c r="AB13" s="83">
        <f>IFERROR(__xludf.DUMMYFUNCTION("IMPORTRANGE(""https://docs.google.com/spreadsheets/d/1C8ECYlbes2CJkHHGOAyOYVfrP7PdlGr8RMjK7KZd0_o/edit#gid=495469277?usp=sharing"",""1-12每月!$F13"")"),5932.0)</f>
        <v>5932</v>
      </c>
      <c r="AC13" s="83">
        <f>IFERROR(__xludf.DUMMYFUNCTION("IMPORTRANGE(""https://docs.google.com/spreadsheets/d/1ettcrhLPK6tkvHZxDTyU2bGIpGSi2ynG91ln0fqz9iE/edit#gid=1364213386?usp=sharing"",""1-12每月!$G13"")"),3367.0)</f>
        <v>3367</v>
      </c>
      <c r="AD13" s="83">
        <f>IFERROR(__xludf.DUMMYFUNCTION("IMPORTRANGE(""https://docs.google.com/spreadsheets/d/1xUhm-MtqzfUO8M5WEWVv9w2EFkv5_PHMOsAlA3CcCWU/edit#gid=1700470961?usp=sharing"",""1-12每月!$G13"")"),3607.0)</f>
        <v>3607</v>
      </c>
      <c r="AE13" s="83">
        <f>IFERROR(__xludf.DUMMYFUNCTION("IMPORTRANGE(""https://docs.google.com/spreadsheets/d/1DP8wl0QQLYSZ8R2aQ8wNmiAUXn7lVrqMsdTccpBmnQc/edit#gid=1145593933?usp=sharing"",""1-12每月!$G13"")"),5924.0)</f>
        <v>5924</v>
      </c>
      <c r="AF13" s="83">
        <f>IFERROR(__xludf.DUMMYFUNCTION("IMPORTRANGE(""https://docs.google.com/spreadsheets/d/17hbKAHrpKLEbG3r9s1Ay3fOGzvOBzSu3Bn_CD4JNLhY/edit#gid=756408948?usp=sharing"",""1-12每月!$G13"")"),11625.0)</f>
        <v>11625</v>
      </c>
      <c r="AG13" s="83">
        <f>IFERROR(__xludf.DUMMYFUNCTION("IMPORTRANGE(""https://docs.google.com/spreadsheets/d/1qeecSCKZ78ENQrsyUYpSNZqvo0-Y-uuGKFA1F06yLEM/edit#gid=874445072?usp=sharing"",""1-12每月!$G13"")"),12798.0)</f>
        <v>12798</v>
      </c>
      <c r="AH13" s="83">
        <f>IFERROR(__xludf.DUMMYFUNCTION("IMPORTRANGE(""https://docs.google.com/spreadsheets/d/1BSX0y1fIKw9-3VTr627UzGVjwKe74kwBkuFnvlaueNo/edit#gid=1113655470"",""1-12每月!$G13"")"),4383.0)</f>
        <v>4383</v>
      </c>
      <c r="AI13" s="83">
        <f>IFERROR(__xludf.DUMMYFUNCTION("IMPORTRANGE(""https://docs.google.com/spreadsheets/d/1bQzlrSGiVqBrfQ6FKnw67vhBELFgthonryGzmQabVFQ/edit#gid=1015697053?usp=sharing"",""1-12每月!$G13"")"),3850.0)</f>
        <v>3850</v>
      </c>
      <c r="AJ13" s="83">
        <f>IFERROR(__xludf.DUMMYFUNCTION("IMPORTRANGE(""https://docs.google.com/spreadsheets/d/1Pem-mgCz4CF6EUKNVxDQx16g9jie0F5YNDQ_cPnMHYs?usp=sharing"",""1-12每月!$G13"")"),4978.0)</f>
        <v>4978</v>
      </c>
      <c r="AK13" s="83">
        <f>IFERROR(__xludf.DUMMYFUNCTION("IMPORTRANGE(""https://docs.google.com/spreadsheets/d/1ZoRtUl0m9T3TpY8H-9-ntNBO_zrYrgNKuAe_XfTeFnU"",""1-12每月!$G13"")"),14104.0)</f>
        <v>14104</v>
      </c>
      <c r="AL13" s="83">
        <f>IFERROR(__xludf.DUMMYFUNCTION("IMPORTRANGE(""https://docs.google.com/spreadsheets/d/1Y9Uv46r1nA3ixCGwTWZqhGQWDt4KVX4iXmhJgHL5CGQ"",""1-12每月!$G13"")"),14638.0)</f>
        <v>14638</v>
      </c>
      <c r="AM13" s="83">
        <f>IFERROR(__xludf.DUMMYFUNCTION("IMPORTRANGE(""https://docs.google.com/spreadsheets/d/1E3X732-CKfouAVQOwKyrePWwI1Bwg9NHD0VD42lyiu4/edit?gid=1513765949#gid=1513765949"",""1-12每月!$G13"")"),0.0)</f>
        <v>0</v>
      </c>
      <c r="AN13" s="115"/>
      <c r="AO13" s="115"/>
      <c r="AP13" s="115"/>
      <c r="AQ13" s="115"/>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IFERROR(__xludf.DUMMYFUNCTION("IMPORTRANGE(""https://docs.google.com/spreadsheets/d/1dffLfsI-BGVz-K0zdrsWfGaqrFfoLJAhq001merp6Rk/edit?usp=sharing"",""1-12每月!$E14"")"),15822.0)</f>
        <v>15822</v>
      </c>
      <c r="N14" s="83">
        <f>IFERROR(__xludf.DUMMYFUNCTION("IMPORTRANGE(""https://docs.google.com/spreadsheets/d/1SzxpZPUDnwxS8mSOLGEH5NbWU7ZW_VcRmIn7psOvuTs/edit#gid=1650312294?usp=sharing"",""1-12每月!$E14"")"),16994.0)</f>
        <v>16994</v>
      </c>
      <c r="O14" s="83">
        <f>IFERROR(__xludf.DUMMYFUNCTION("IMPORTRANGE(""https://docs.google.com/spreadsheets/d/1ta9i7cAkOPF0LapwmU_YEDA4IPQvKNuaYVMY8vIVPwI/edit#gid=1607741572?usp=sharing"",""1-12每月!$E14"")"),20623.0)</f>
        <v>20623</v>
      </c>
      <c r="P14" s="83">
        <f>IFERROR(__xludf.DUMMYFUNCTION("IMPORTRANGE(""https://docs.google.com/spreadsheets/d/1f4WWQfcNBonYqfzcaBhJlHzPwh34sx4U6naz-Aw2G4I/edit#gid=2097425894?usp=sharing"",""1-12每月!$G14"")"),29223.0)</f>
        <v>29223</v>
      </c>
      <c r="Q14" s="83">
        <f>IFERROR(__xludf.DUMMYFUNCTION("IMPORTRANGE(""https://docs.google.com/spreadsheets/d/1pCmmgCj7Y_SQPZLsiVd3yvND9oLyryVfBwNxC6OUwm8/edit#gid=170549058?usp=sharing"",""1-12每月!$G14"")"),14133.0)</f>
        <v>14133</v>
      </c>
      <c r="R14" s="83">
        <f>IFERROR(__xludf.DUMMYFUNCTION("IMPORTRANGE(""https://docs.google.com/spreadsheets/d/1hrRqxxacrLITR_JGMRVbhSRCIZIU8gAv0o_aOkHz68M/edit#gid=763155734?usp=sharing"",""1-12每月!$G14"")"),17089.0)</f>
        <v>17089</v>
      </c>
      <c r="S14" s="83">
        <f>IFERROR(__xludf.DUMMYFUNCTION("IMPORTRANGE(""https://docs.google.com/spreadsheets/d/1AKS3XWcgwNLFRbGU-lJ3UBHDQNdglvKwrv4_Bpp1IjU/edit#gid=73116376?usp=sharing"",""1-12每月!$F14"")"),19352.0)</f>
        <v>19352</v>
      </c>
      <c r="T14" s="83">
        <f>IFERROR(__xludf.DUMMYFUNCTION("IMPORTRANGE(""https://docs.google.com/spreadsheets/d/1wGGXGHkWT5JsjUDTy4FnHN_O9ae4MADbMykqIWVThNc/edit#gid=297806252?usp=sharing"",""1-12每月!$F14"")"),9159.0)</f>
        <v>9159</v>
      </c>
      <c r="U14" s="83">
        <f>IFERROR(__xludf.DUMMYFUNCTION("IMPORTRANGE(""https://docs.google.com/spreadsheets/d/1ShTgtQQDjMKpYx-TJ_lwdxnWSzJNUcNnzR3fJjoaZec/edit#gid=66107904?usp=sharing"",""1-12每月!$F14"")"),9124.0)</f>
        <v>9124</v>
      </c>
      <c r="V14" s="83">
        <f>IFERROR(__xludf.DUMMYFUNCTION("IMPORTRANGE(""https://docs.google.com/spreadsheets/d/1_eyuyKbXFCJd6fVFEKQwugwYCbRCmmWN_M7XR1dtOb8/edit#gid=951918895?usp=sharing"",""1-12每月!$F14"")"),6952.0)</f>
        <v>6952</v>
      </c>
      <c r="W14" s="83">
        <f>IFERROR(__xludf.DUMMYFUNCTION("IMPORTRANGE(""https://docs.google.com/spreadsheets/d/1yEpHI9_Y4w8sRmPP9C-mYK4NMfVuTJifGLMj4FMdqek/edit#gid=799087919?usp=sharing"",""1-12每月!$F14"")"),6295.0)</f>
        <v>6295</v>
      </c>
      <c r="X14" s="83">
        <f>IFERROR(__xludf.DUMMYFUNCTION("IMPORTRANGE(""https://docs.google.com/spreadsheets/d/1Vbyb9GlrY6jOwvoGyZFB96f7WXYjkT6gvTE37DPDXDI/edit#gid=9591526?usp=sharing"",""1-12每月!$F14"")"),7999.0)</f>
        <v>7999</v>
      </c>
      <c r="Y14" s="83">
        <f>IFERROR(__xludf.DUMMYFUNCTION("IMPORTRANGE(""https://docs.google.com/spreadsheets/d/1qeckoJwzWQAg8zQ80D-QJP4pnVYH6l2juaUyHtOu6y8/edit#gid=1905704096?usp=sharing"",""1-12每月!$F14"")"),7641.0)</f>
        <v>7641</v>
      </c>
      <c r="Z14" s="83">
        <f>IFERROR(__xludf.DUMMYFUNCTION("IMPORTRANGE(""https://docs.google.com/spreadsheets/d/1BcbIi7AD1VDpy_wMQ0YjCG-iuQy0_tkCVqr72a0Pwbg/edit#gid=1099513714?usp=sharing"",""1-12每月!$F14"")"),7640.0)</f>
        <v>7640</v>
      </c>
      <c r="AA14" s="83">
        <f>IFERROR(__xludf.DUMMYFUNCTION("IMPORTRANGE(""https://docs.google.com/spreadsheets/d/1cIFCQPaYiOmIt2O3vkEx5eto8sfRtx3JtAWJ1fv31HI/edit#gid=432689709?usp=sharing"",""1-12每月!$F14"")"),9391.0)</f>
        <v>9391</v>
      </c>
      <c r="AB14" s="83">
        <f>IFERROR(__xludf.DUMMYFUNCTION("IMPORTRANGE(""https://docs.google.com/spreadsheets/d/1C8ECYlbes2CJkHHGOAyOYVfrP7PdlGr8RMjK7KZd0_o/edit#gid=495469277?usp=sharing"",""1-12每月!$F14"")"),8727.0)</f>
        <v>8727</v>
      </c>
      <c r="AC14" s="83">
        <f>IFERROR(__xludf.DUMMYFUNCTION("IMPORTRANGE(""https://docs.google.com/spreadsheets/d/1ettcrhLPK6tkvHZxDTyU2bGIpGSi2ynG91ln0fqz9iE/edit#gid=1364213386?usp=sharing"",""1-12每月!$G14"")"),2978.0)</f>
        <v>2978</v>
      </c>
      <c r="AD14" s="83">
        <f>IFERROR(__xludf.DUMMYFUNCTION("IMPORTRANGE(""https://docs.google.com/spreadsheets/d/1xUhm-MtqzfUO8M5WEWVv9w2EFkv5_PHMOsAlA3CcCWU/edit#gid=1700470961?usp=sharing"",""1-12每月!$G14"")"),11326.0)</f>
        <v>11326</v>
      </c>
      <c r="AE14" s="83">
        <f>IFERROR(__xludf.DUMMYFUNCTION("IMPORTRANGE(""https://docs.google.com/spreadsheets/d/1DP8wl0QQLYSZ8R2aQ8wNmiAUXn7lVrqMsdTccpBmnQc/edit#gid=1145593933?usp=sharing"",""1-12每月!$G14"")"),6542.0)</f>
        <v>6542</v>
      </c>
      <c r="AF14" s="83">
        <f>IFERROR(__xludf.DUMMYFUNCTION("IMPORTRANGE(""https://docs.google.com/spreadsheets/d/17hbKAHrpKLEbG3r9s1Ay3fOGzvOBzSu3Bn_CD4JNLhY/edit#gid=756408948?usp=sharing"",""1-12每月!$G14"")"),11476.0)</f>
        <v>11476</v>
      </c>
      <c r="AG14" s="83">
        <f>IFERROR(__xludf.DUMMYFUNCTION("IMPORTRANGE(""https://docs.google.com/spreadsheets/d/1qeecSCKZ78ENQrsyUYpSNZqvo0-Y-uuGKFA1F06yLEM/edit#gid=874445072?usp=sharing"",""1-12每月!$G14"")"),16205.0)</f>
        <v>16205</v>
      </c>
      <c r="AH14" s="83">
        <f>IFERROR(__xludf.DUMMYFUNCTION("IMPORTRANGE(""https://docs.google.com/spreadsheets/d/1BSX0y1fIKw9-3VTr627UzGVjwKe74kwBkuFnvlaueNo/edit#gid=1113655470"",""1-12每月!$G14"")"),4704.0)</f>
        <v>4704</v>
      </c>
      <c r="AI14" s="83">
        <f>IFERROR(__xludf.DUMMYFUNCTION("IMPORTRANGE(""https://docs.google.com/spreadsheets/d/1bQzlrSGiVqBrfQ6FKnw67vhBELFgthonryGzmQabVFQ/edit#gid=1015697053?usp=sharing"",""1-12每月!$G14"")"),2852.0)</f>
        <v>2852</v>
      </c>
      <c r="AJ14" s="83">
        <f>IFERROR(__xludf.DUMMYFUNCTION("IMPORTRANGE(""https://docs.google.com/spreadsheets/d/1Pem-mgCz4CF6EUKNVxDQx16g9jie0F5YNDQ_cPnMHYs?usp=sharing"",""1-12每月!$G14"")"),6822.0)</f>
        <v>6822</v>
      </c>
      <c r="AK14" s="83">
        <f>IFERROR(__xludf.DUMMYFUNCTION("IMPORTRANGE(""https://docs.google.com/spreadsheets/d/1ZoRtUl0m9T3TpY8H-9-ntNBO_zrYrgNKuAe_XfTeFnU"",""1-12每月!$G14"")"),13076.0)</f>
        <v>13076</v>
      </c>
      <c r="AL14" s="83">
        <f>IFERROR(__xludf.DUMMYFUNCTION("IMPORTRANGE(""https://docs.google.com/spreadsheets/d/1Y9Uv46r1nA3ixCGwTWZqhGQWDt4KVX4iXmhJgHL5CGQ"",""1-12每月!$G14"")"),19485.0)</f>
        <v>19485</v>
      </c>
      <c r="AM14" s="83">
        <f>IFERROR(__xludf.DUMMYFUNCTION("IMPORTRANGE(""https://docs.google.com/spreadsheets/d/1E3X732-CKfouAVQOwKyrePWwI1Bwg9NHD0VD42lyiu4/edit?gid=1513765949#gid=1513765949"",""1-12每月!$G14"")"),0.0)</f>
        <v>0</v>
      </c>
      <c r="AN14" s="115"/>
      <c r="AO14" s="115"/>
      <c r="AP14" s="115"/>
      <c r="AQ14" s="115"/>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IFERROR(__xludf.DUMMYFUNCTION("IMPORTRANGE(""https://docs.google.com/spreadsheets/d/1dffLfsI-BGVz-K0zdrsWfGaqrFfoLJAhq001merp6Rk/edit?usp=sharing"",""1-12每月!$E15"")"),14990.0)</f>
        <v>14990</v>
      </c>
      <c r="N15" s="83">
        <f>IFERROR(__xludf.DUMMYFUNCTION("IMPORTRANGE(""https://docs.google.com/spreadsheets/d/1SzxpZPUDnwxS8mSOLGEH5NbWU7ZW_VcRmIn7psOvuTs/edit#gid=1650312294?usp=sharing"",""1-12每月!$E15"")"),17280.0)</f>
        <v>17280</v>
      </c>
      <c r="O15" s="83">
        <f>IFERROR(__xludf.DUMMYFUNCTION("IMPORTRANGE(""https://docs.google.com/spreadsheets/d/1ta9i7cAkOPF0LapwmU_YEDA4IPQvKNuaYVMY8vIVPwI/edit#gid=1607741572?usp=sharing"",""1-12每月!$E15"")"),21033.0)</f>
        <v>21033</v>
      </c>
      <c r="P15" s="83">
        <f>IFERROR(__xludf.DUMMYFUNCTION("IMPORTRANGE(""https://docs.google.com/spreadsheets/d/1f4WWQfcNBonYqfzcaBhJlHzPwh34sx4U6naz-Aw2G4I/edit#gid=2097425894?usp=sharing"",""1-12每月!$G15"")"),19345.0)</f>
        <v>19345</v>
      </c>
      <c r="Q15" s="83">
        <f>IFERROR(__xludf.DUMMYFUNCTION("IMPORTRANGE(""https://docs.google.com/spreadsheets/d/1pCmmgCj7Y_SQPZLsiVd3yvND9oLyryVfBwNxC6OUwm8/edit#gid=170549058?usp=sharing"",""1-12每月!$G15"")"),14694.0)</f>
        <v>14694</v>
      </c>
      <c r="R15" s="83">
        <f>IFERROR(__xludf.DUMMYFUNCTION("IMPORTRANGE(""https://docs.google.com/spreadsheets/d/1hrRqxxacrLITR_JGMRVbhSRCIZIU8gAv0o_aOkHz68M/edit#gid=763155734?usp=sharing"",""1-12每月!$G15"")"),12241.0)</f>
        <v>12241</v>
      </c>
      <c r="S15" s="83">
        <f>IFERROR(__xludf.DUMMYFUNCTION("IMPORTRANGE(""https://docs.google.com/spreadsheets/d/1AKS3XWcgwNLFRbGU-lJ3UBHDQNdglvKwrv4_Bpp1IjU/edit#gid=73116376?usp=sharing"",""1-12每月!$F15"")"),14553.0)</f>
        <v>14553</v>
      </c>
      <c r="T15" s="83">
        <f>IFERROR(__xludf.DUMMYFUNCTION("IMPORTRANGE(""https://docs.google.com/spreadsheets/d/1wGGXGHkWT5JsjUDTy4FnHN_O9ae4MADbMykqIWVThNc/edit#gid=297806252?usp=sharing"",""1-12每月!$F15"")"),9169.0)</f>
        <v>9169</v>
      </c>
      <c r="U15" s="83">
        <f>IFERROR(__xludf.DUMMYFUNCTION("IMPORTRANGE(""https://docs.google.com/spreadsheets/d/1ShTgtQQDjMKpYx-TJ_lwdxnWSzJNUcNnzR3fJjoaZec/edit#gid=66107904?usp=sharing"",""1-12每月!$F15"")"),4670.0)</f>
        <v>4670</v>
      </c>
      <c r="V15" s="83">
        <f>IFERROR(__xludf.DUMMYFUNCTION("IMPORTRANGE(""https://docs.google.com/spreadsheets/d/1_eyuyKbXFCJd6fVFEKQwugwYCbRCmmWN_M7XR1dtOb8/edit#gid=951918895?usp=sharing"",""1-12每月!$F15"")"),9772.0)</f>
        <v>9772</v>
      </c>
      <c r="W15" s="83">
        <f>IFERROR(__xludf.DUMMYFUNCTION("IMPORTRANGE(""https://docs.google.com/spreadsheets/d/1yEpHI9_Y4w8sRmPP9C-mYK4NMfVuTJifGLMj4FMdqek/edit#gid=799087919?usp=sharing"",""1-12每月!$F15"")"),5817.0)</f>
        <v>5817</v>
      </c>
      <c r="X15" s="83">
        <f>IFERROR(__xludf.DUMMYFUNCTION("IMPORTRANGE(""https://docs.google.com/spreadsheets/d/1Vbyb9GlrY6jOwvoGyZFB96f7WXYjkT6gvTE37DPDXDI/edit#gid=9591526?usp=sharing"",""1-12每月!$F15"")"),5704.0)</f>
        <v>5704</v>
      </c>
      <c r="Y15" s="83">
        <f>IFERROR(__xludf.DUMMYFUNCTION("IMPORTRANGE(""https://docs.google.com/spreadsheets/d/1qeckoJwzWQAg8zQ80D-QJP4pnVYH6l2juaUyHtOu6y8/edit#gid=1905704096?usp=sharing"",""1-12每月!$F15"")"),7679.0)</f>
        <v>7679</v>
      </c>
      <c r="Z15" s="83">
        <f>IFERROR(__xludf.DUMMYFUNCTION("IMPORTRANGE(""https://docs.google.com/spreadsheets/d/1BcbIi7AD1VDpy_wMQ0YjCG-iuQy0_tkCVqr72a0Pwbg/edit#gid=1099513714?usp=sharing"",""1-12每月!$F15"")"),6975.0)</f>
        <v>6975</v>
      </c>
      <c r="AA15" s="83">
        <f>IFERROR(__xludf.DUMMYFUNCTION("IMPORTRANGE(""https://docs.google.com/spreadsheets/d/1cIFCQPaYiOmIt2O3vkEx5eto8sfRtx3JtAWJ1fv31HI/edit#gid=432689709?usp=sharing"",""1-12每月!$F15"")"),6541.0)</f>
        <v>6541</v>
      </c>
      <c r="AB15" s="83">
        <f>IFERROR(__xludf.DUMMYFUNCTION("IMPORTRANGE(""https://docs.google.com/spreadsheets/d/1C8ECYlbes2CJkHHGOAyOYVfrP7PdlGr8RMjK7KZd0_o/edit#gid=495469277?usp=sharing"",""1-12每月!$F15"")"),6511.0)</f>
        <v>6511</v>
      </c>
      <c r="AC15" s="83">
        <f>IFERROR(__xludf.DUMMYFUNCTION("IMPORTRANGE(""https://docs.google.com/spreadsheets/d/1ettcrhLPK6tkvHZxDTyU2bGIpGSi2ynG91ln0fqz9iE/edit#gid=1364213386?usp=sharing"",""1-12每月!$G15"")"),3958.0)</f>
        <v>3958</v>
      </c>
      <c r="AD15" s="83">
        <f>IFERROR(__xludf.DUMMYFUNCTION("IMPORTRANGE(""https://docs.google.com/spreadsheets/d/1xUhm-MtqzfUO8M5WEWVv9w2EFkv5_PHMOsAlA3CcCWU/edit#gid=1700470961?usp=sharing"",""1-12每月!$G15"")"),6844.0)</f>
        <v>6844</v>
      </c>
      <c r="AE15" s="83">
        <f>IFERROR(__xludf.DUMMYFUNCTION("IMPORTRANGE(""https://docs.google.com/spreadsheets/d/1DP8wl0QQLYSZ8R2aQ8wNmiAUXn7lVrqMsdTccpBmnQc/edit#gid=1145593933?usp=sharing"",""1-12每月!$G15"")"),6183.0)</f>
        <v>6183</v>
      </c>
      <c r="AF15" s="83">
        <f>IFERROR(__xludf.DUMMYFUNCTION("IMPORTRANGE(""https://docs.google.com/spreadsheets/d/17hbKAHrpKLEbG3r9s1Ay3fOGzvOBzSu3Bn_CD4JNLhY/edit#gid=756408948?usp=sharing"",""1-12每月!$G15"")"),8814.41)</f>
        <v>8814.41</v>
      </c>
      <c r="AG15" s="83">
        <f>IFERROR(__xludf.DUMMYFUNCTION("IMPORTRANGE(""https://docs.google.com/spreadsheets/d/1qeecSCKZ78ENQrsyUYpSNZqvo0-Y-uuGKFA1F06yLEM/edit#gid=874445072?usp=sharing"",""1-12每月!$G15"")"),9088.0)</f>
        <v>9088</v>
      </c>
      <c r="AH15" s="83">
        <f>IFERROR(__xludf.DUMMYFUNCTION("IMPORTRANGE(""https://docs.google.com/spreadsheets/d/1BSX0y1fIKw9-3VTr627UzGVjwKe74kwBkuFnvlaueNo/edit#gid=1113655470"",""1-12每月!$G15"")"),5502.0)</f>
        <v>5502</v>
      </c>
      <c r="AI15" s="83">
        <f>IFERROR(__xludf.DUMMYFUNCTION("IMPORTRANGE(""https://docs.google.com/spreadsheets/d/1bQzlrSGiVqBrfQ6FKnw67vhBELFgthonryGzmQabVFQ/edit#gid=1015697053?usp=sharing"",""1-12每月!$G15"")"),3202.0)</f>
        <v>3202</v>
      </c>
      <c r="AJ15" s="83">
        <f>IFERROR(__xludf.DUMMYFUNCTION("IMPORTRANGE(""https://docs.google.com/spreadsheets/d/1Pem-mgCz4CF6EUKNVxDQx16g9jie0F5YNDQ_cPnMHYs?usp=sharing"",""1-12每月!$G15"")"),5730.0)</f>
        <v>5730</v>
      </c>
      <c r="AK15" s="83">
        <f>IFERROR(__xludf.DUMMYFUNCTION("IMPORTRANGE(""https://docs.google.com/spreadsheets/d/1ZoRtUl0m9T3TpY8H-9-ntNBO_zrYrgNKuAe_XfTeFnU"",""1-12每月!$G15"")"),14952.0)</f>
        <v>14952</v>
      </c>
      <c r="AL15" s="83">
        <f>IFERROR(__xludf.DUMMYFUNCTION("IMPORTRANGE(""https://docs.google.com/spreadsheets/d/1Y9Uv46r1nA3ixCGwTWZqhGQWDt4KVX4iXmhJgHL5CGQ"",""1-12每月!$G15"")"),15963.0)</f>
        <v>15963</v>
      </c>
      <c r="AM15" s="83">
        <f>IFERROR(__xludf.DUMMYFUNCTION("IMPORTRANGE(""https://docs.google.com/spreadsheets/d/1E3X732-CKfouAVQOwKyrePWwI1Bwg9NHD0VD42lyiu4/edit?gid=1513765949#gid=1513765949"",""1-12每月!$G15"")"),0.0)</f>
        <v>0</v>
      </c>
      <c r="AN15" s="115"/>
      <c r="AO15" s="115"/>
      <c r="AP15" s="115"/>
      <c r="AQ15" s="115"/>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IFERROR(__xludf.DUMMYFUNCTION("IMPORTRANGE(""https://docs.google.com/spreadsheets/d/1dffLfsI-BGVz-K0zdrsWfGaqrFfoLJAhq001merp6Rk/edit?usp=sharing"",""1-12每月!$E16"")"),19164.0)</f>
        <v>19164</v>
      </c>
      <c r="N16" s="83">
        <f>IFERROR(__xludf.DUMMYFUNCTION("IMPORTRANGE(""https://docs.google.com/spreadsheets/d/1SzxpZPUDnwxS8mSOLGEH5NbWU7ZW_VcRmIn7psOvuTs/edit#gid=1650312294?usp=sharing"",""1-12每月!$E16"")"),17280.0)</f>
        <v>17280</v>
      </c>
      <c r="O16" s="83">
        <f>IFERROR(__xludf.DUMMYFUNCTION("IMPORTRANGE(""https://docs.google.com/spreadsheets/d/1ta9i7cAkOPF0LapwmU_YEDA4IPQvKNuaYVMY8vIVPwI/edit#gid=1607741572?usp=sharing"",""1-12每月!$E16"")"),17515.0)</f>
        <v>17515</v>
      </c>
      <c r="P16" s="83">
        <f>IFERROR(__xludf.DUMMYFUNCTION("IMPORTRANGE(""https://docs.google.com/spreadsheets/d/1f4WWQfcNBonYqfzcaBhJlHzPwh34sx4U6naz-Aw2G4I/edit#gid=2097425894?usp=sharing"",""1-12每月!$G16"")"),17745.0)</f>
        <v>17745</v>
      </c>
      <c r="Q16" s="83">
        <f>IFERROR(__xludf.DUMMYFUNCTION("IMPORTRANGE(""https://docs.google.com/spreadsheets/d/1pCmmgCj7Y_SQPZLsiVd3yvND9oLyryVfBwNxC6OUwm8/edit#gid=170549058?usp=sharing"",""1-12每月!$G16"")"),9657.0)</f>
        <v>9657</v>
      </c>
      <c r="R16" s="83">
        <f>IFERROR(__xludf.DUMMYFUNCTION("IMPORTRANGE(""https://docs.google.com/spreadsheets/d/1hrRqxxacrLITR_JGMRVbhSRCIZIU8gAv0o_aOkHz68M/edit#gid=763155734?usp=sharing"",""1-12每月!$G16"")"),12427.0)</f>
        <v>12427</v>
      </c>
      <c r="S16" s="83">
        <f>IFERROR(__xludf.DUMMYFUNCTION("IMPORTRANGE(""https://docs.google.com/spreadsheets/d/1AKS3XWcgwNLFRbGU-lJ3UBHDQNdglvKwrv4_Bpp1IjU/edit#gid=73116376?usp=sharing"",""1-12每月!$F16"")"),14127.0)</f>
        <v>14127</v>
      </c>
      <c r="T16" s="83">
        <f>IFERROR(__xludf.DUMMYFUNCTION("IMPORTRANGE(""https://docs.google.com/spreadsheets/d/1wGGXGHkWT5JsjUDTy4FnHN_O9ae4MADbMykqIWVThNc/edit#gid=297806252?usp=sharing"",""1-12每月!$F16"")"),10474.0)</f>
        <v>10474</v>
      </c>
      <c r="U16" s="83">
        <f>IFERROR(__xludf.DUMMYFUNCTION("IMPORTRANGE(""https://docs.google.com/spreadsheets/d/1ShTgtQQDjMKpYx-TJ_lwdxnWSzJNUcNnzR3fJjoaZec/edit#gid=66107904?usp=sharing"",""1-12每月!$F16"")"),6039.0)</f>
        <v>6039</v>
      </c>
      <c r="V16" s="83">
        <f>IFERROR(__xludf.DUMMYFUNCTION("IMPORTRANGE(""https://docs.google.com/spreadsheets/d/1_eyuyKbXFCJd6fVFEKQwugwYCbRCmmWN_M7XR1dtOb8/edit#gid=951918895?usp=sharing"",""1-12每月!$F16"")"),7939.0)</f>
        <v>7939</v>
      </c>
      <c r="W16" s="83">
        <f>IFERROR(__xludf.DUMMYFUNCTION("IMPORTRANGE(""https://docs.google.com/spreadsheets/d/1yEpHI9_Y4w8sRmPP9C-mYK4NMfVuTJifGLMj4FMdqek/edit#gid=799087919?usp=sharing"",""1-12每月!$F16"")"),6023.0)</f>
        <v>6023</v>
      </c>
      <c r="X16" s="83">
        <f>IFERROR(__xludf.DUMMYFUNCTION("IMPORTRANGE(""https://docs.google.com/spreadsheets/d/1Vbyb9GlrY6jOwvoGyZFB96f7WXYjkT6gvTE37DPDXDI/edit#gid=9591526?usp=sharing"",""1-12每月!$F16"")"),5526.0)</f>
        <v>5526</v>
      </c>
      <c r="Y16" s="83">
        <f>IFERROR(__xludf.DUMMYFUNCTION("IMPORTRANGE(""https://docs.google.com/spreadsheets/d/1qeckoJwzWQAg8zQ80D-QJP4pnVYH6l2juaUyHtOu6y8/edit#gid=1905704096?usp=sharing"",""1-12每月!$F16"")"),8140.0)</f>
        <v>8140</v>
      </c>
      <c r="Z16" s="83">
        <f>IFERROR(__xludf.DUMMYFUNCTION("IMPORTRANGE(""https://docs.google.com/spreadsheets/d/1BcbIi7AD1VDpy_wMQ0YjCG-iuQy0_tkCVqr72a0Pwbg/edit#gid=1099513714?usp=sharing"",""1-12每月!$F16"")"),6041.0)</f>
        <v>6041</v>
      </c>
      <c r="AA16" s="83">
        <f>IFERROR(__xludf.DUMMYFUNCTION("IMPORTRANGE(""https://docs.google.com/spreadsheets/d/1cIFCQPaYiOmIt2O3vkEx5eto8sfRtx3JtAWJ1fv31HI/edit#gid=432689709?usp=sharing"",""1-12每月!$F16"")"),6768.0)</f>
        <v>6768</v>
      </c>
      <c r="AB16" s="83">
        <f>IFERROR(__xludf.DUMMYFUNCTION("IMPORTRANGE(""https://docs.google.com/spreadsheets/d/1C8ECYlbes2CJkHHGOAyOYVfrP7PdlGr8RMjK7KZd0_o/edit#gid=495469277?usp=sharing"",""1-12每月!$F16"")"),6143.0)</f>
        <v>6143</v>
      </c>
      <c r="AC16" s="83">
        <f>IFERROR(__xludf.DUMMYFUNCTION("IMPORTRANGE(""https://docs.google.com/spreadsheets/d/1ettcrhLPK6tkvHZxDTyU2bGIpGSi2ynG91ln0fqz9iE/edit#gid=1364213386?usp=sharing"",""1-12每月!$G16"")"),4823.0)</f>
        <v>4823</v>
      </c>
      <c r="AD16" s="83">
        <f>IFERROR(__xludf.DUMMYFUNCTION("IMPORTRANGE(""https://docs.google.com/spreadsheets/d/1xUhm-MtqzfUO8M5WEWVv9w2EFkv5_PHMOsAlA3CcCWU/edit#gid=1700470961?usp=sharing"",""1-12每月!$G16"")"),11113.0)</f>
        <v>11113</v>
      </c>
      <c r="AE16" s="83">
        <f>IFERROR(__xludf.DUMMYFUNCTION("IMPORTRANGE(""https://docs.google.com/spreadsheets/d/1DP8wl0QQLYSZ8R2aQ8wNmiAUXn7lVrqMsdTccpBmnQc/edit#gid=1145593933?usp=sharing"",""1-12每月!$G16"")"),11909.0)</f>
        <v>11909</v>
      </c>
      <c r="AF16" s="83">
        <f>IFERROR(__xludf.DUMMYFUNCTION("IMPORTRANGE(""https://docs.google.com/spreadsheets/d/17hbKAHrpKLEbG3r9s1Ay3fOGzvOBzSu3Bn_CD4JNLhY/edit#gid=756408948?usp=sharing"",""1-12每月!$G16"")"),6124.0)</f>
        <v>6124</v>
      </c>
      <c r="AG16" s="83">
        <f>IFERROR(__xludf.DUMMYFUNCTION("IMPORTRANGE(""https://docs.google.com/spreadsheets/d/1qeecSCKZ78ENQrsyUYpSNZqvo0-Y-uuGKFA1F06yLEM/edit#gid=874445072?usp=sharing"",""1-12每月!$G16"")"),5045.0)</f>
        <v>5045</v>
      </c>
      <c r="AH16" s="83">
        <f>IFERROR(__xludf.DUMMYFUNCTION("IMPORTRANGE(""https://docs.google.com/spreadsheets/d/1BSX0y1fIKw9-3VTr627UzGVjwKe74kwBkuFnvlaueNo/edit#gid=1113655470"",""1-12每月!$G16"")"),4881.0)</f>
        <v>4881</v>
      </c>
      <c r="AI16" s="83">
        <f>IFERROR(__xludf.DUMMYFUNCTION("IMPORTRANGE(""https://docs.google.com/spreadsheets/d/1bQzlrSGiVqBrfQ6FKnw67vhBELFgthonryGzmQabVFQ/edit#gid=1015697053?usp=sharing"",""1-12每月!$G16"")"),2981.0)</f>
        <v>2981</v>
      </c>
      <c r="AJ16" s="83">
        <f>IFERROR(__xludf.DUMMYFUNCTION("IMPORTRANGE(""https://docs.google.com/spreadsheets/d/1Pem-mgCz4CF6EUKNVxDQx16g9jie0F5YNDQ_cPnMHYs?usp=sharing"",""1-12每月!$G16"")"),4576.0)</f>
        <v>4576</v>
      </c>
      <c r="AK16" s="83">
        <f>IFERROR(__xludf.DUMMYFUNCTION("IMPORTRANGE(""https://docs.google.com/spreadsheets/d/1ZoRtUl0m9T3TpY8H-9-ntNBO_zrYrgNKuAe_XfTeFnU"",""1-12每月!$G16"")"),15256.0)</f>
        <v>15256</v>
      </c>
      <c r="AL16" s="83">
        <f>IFERROR(__xludf.DUMMYFUNCTION("IMPORTRANGE(""https://docs.google.com/spreadsheets/d/1Y9Uv46r1nA3ixCGwTWZqhGQWDt4KVX4iXmhJgHL5CGQ"",""1-12每月!$G16"")"),14389.0)</f>
        <v>14389</v>
      </c>
      <c r="AM16" s="83">
        <f>IFERROR(__xludf.DUMMYFUNCTION("IMPORTRANGE(""https://docs.google.com/spreadsheets/d/1E3X732-CKfouAVQOwKyrePWwI1Bwg9NHD0VD42lyiu4/edit?gid=1513765949#gid=1513765949"",""1-12每月!$G16"")"),0.0)</f>
        <v>0</v>
      </c>
      <c r="AN16" s="115"/>
      <c r="AO16" s="115"/>
      <c r="AP16" s="115"/>
      <c r="AQ16" s="115"/>
      <c r="AR16" s="108"/>
    </row>
    <row r="17" ht="15.75" customHeight="1">
      <c r="A17" s="86" t="s">
        <v>45</v>
      </c>
      <c r="B17" s="87"/>
      <c r="C17" s="87"/>
      <c r="D17" s="87"/>
      <c r="E17" s="87"/>
      <c r="F17" s="87"/>
      <c r="G17" s="87"/>
      <c r="H17" s="87"/>
      <c r="I17" s="87"/>
      <c r="J17" s="87"/>
      <c r="K17" s="87"/>
      <c r="L17" s="87"/>
      <c r="M17" s="87">
        <f t="shared" ref="M17:AR17" si="1">SUM(M5:M16)</f>
        <v>276764</v>
      </c>
      <c r="N17" s="87">
        <f t="shared" si="1"/>
        <v>248552</v>
      </c>
      <c r="O17" s="87">
        <f t="shared" si="1"/>
        <v>268056</v>
      </c>
      <c r="P17" s="87">
        <f t="shared" si="1"/>
        <v>276833</v>
      </c>
      <c r="Q17" s="87">
        <f t="shared" si="1"/>
        <v>210511</v>
      </c>
      <c r="R17" s="87">
        <f t="shared" si="1"/>
        <v>197554</v>
      </c>
      <c r="S17" s="87">
        <f t="shared" si="1"/>
        <v>200477</v>
      </c>
      <c r="T17" s="87">
        <f t="shared" si="1"/>
        <v>158436</v>
      </c>
      <c r="U17" s="87">
        <f t="shared" si="1"/>
        <v>141808</v>
      </c>
      <c r="V17" s="87">
        <f t="shared" si="1"/>
        <v>187567</v>
      </c>
      <c r="W17" s="87">
        <f t="shared" si="1"/>
        <v>134192</v>
      </c>
      <c r="X17" s="87">
        <f t="shared" si="1"/>
        <v>111235</v>
      </c>
      <c r="Y17" s="87">
        <f t="shared" si="1"/>
        <v>109820</v>
      </c>
      <c r="Z17" s="87">
        <f t="shared" si="1"/>
        <v>123962</v>
      </c>
      <c r="AA17" s="87">
        <f t="shared" si="1"/>
        <v>111035</v>
      </c>
      <c r="AB17" s="87">
        <f t="shared" si="1"/>
        <v>110035</v>
      </c>
      <c r="AC17" s="87">
        <f t="shared" si="1"/>
        <v>60456</v>
      </c>
      <c r="AD17" s="87">
        <f t="shared" si="1"/>
        <v>96501</v>
      </c>
      <c r="AE17" s="87">
        <f t="shared" si="1"/>
        <v>97530.87</v>
      </c>
      <c r="AF17" s="87">
        <f t="shared" si="1"/>
        <v>130445.52</v>
      </c>
      <c r="AG17" s="87">
        <f t="shared" si="1"/>
        <v>124265</v>
      </c>
      <c r="AH17" s="87">
        <f t="shared" si="1"/>
        <v>55411</v>
      </c>
      <c r="AI17" s="87">
        <f t="shared" si="1"/>
        <v>55337</v>
      </c>
      <c r="AJ17" s="87">
        <f t="shared" si="1"/>
        <v>61989</v>
      </c>
      <c r="AK17" s="87">
        <f t="shared" si="1"/>
        <v>181378</v>
      </c>
      <c r="AL17" s="87">
        <f t="shared" si="1"/>
        <v>189130</v>
      </c>
      <c r="AM17" s="87">
        <f t="shared" si="1"/>
        <v>64890</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-0.1019352228</v>
      </c>
      <c r="O18" s="90">
        <f t="shared" si="2"/>
        <v>0.07847050114</v>
      </c>
      <c r="P18" s="90">
        <f t="shared" si="2"/>
        <v>0.03274315815</v>
      </c>
      <c r="Q18" s="90">
        <f t="shared" si="2"/>
        <v>-0.2395740392</v>
      </c>
      <c r="R18" s="90">
        <f t="shared" si="2"/>
        <v>-0.06155022778</v>
      </c>
      <c r="S18" s="90">
        <f t="shared" si="2"/>
        <v>0.01479595452</v>
      </c>
      <c r="T18" s="90">
        <f t="shared" si="2"/>
        <v>-0.2097048539</v>
      </c>
      <c r="U18" s="90">
        <f t="shared" si="2"/>
        <v>-0.104950895</v>
      </c>
      <c r="V18" s="90">
        <f t="shared" si="2"/>
        <v>0.3226827824</v>
      </c>
      <c r="W18" s="90">
        <f t="shared" si="2"/>
        <v>-0.2845649821</v>
      </c>
      <c r="X18" s="90">
        <f t="shared" si="2"/>
        <v>-0.171075772</v>
      </c>
      <c r="Y18" s="90">
        <f t="shared" si="2"/>
        <v>-0.01272081629</v>
      </c>
      <c r="Z18" s="90">
        <f t="shared" si="2"/>
        <v>0.128774358</v>
      </c>
      <c r="AA18" s="90">
        <f t="shared" si="2"/>
        <v>-0.1042819574</v>
      </c>
      <c r="AB18" s="90">
        <f t="shared" si="2"/>
        <v>-0.009006169226</v>
      </c>
      <c r="AC18" s="90">
        <f t="shared" si="2"/>
        <v>-0.4505748171</v>
      </c>
      <c r="AD18" s="90">
        <f t="shared" ref="AD18:AR18" si="3">IF(AC17=0,0,(AD17-AC17)/AC17)</f>
        <v>0.5962187376</v>
      </c>
      <c r="AE18" s="90">
        <f t="shared" si="3"/>
        <v>0.01067211739</v>
      </c>
      <c r="AF18" s="90">
        <f t="shared" si="3"/>
        <v>0.3374793027</v>
      </c>
      <c r="AG18" s="90">
        <f t="shared" si="3"/>
        <v>-0.04738008634</v>
      </c>
      <c r="AH18" s="90">
        <f t="shared" si="3"/>
        <v>-0.5540900495</v>
      </c>
      <c r="AI18" s="90">
        <f t="shared" si="3"/>
        <v>-0.001335474906</v>
      </c>
      <c r="AJ18" s="90">
        <f t="shared" si="3"/>
        <v>0.1202089018</v>
      </c>
      <c r="AK18" s="90">
        <f t="shared" si="3"/>
        <v>1.925970737</v>
      </c>
      <c r="AL18" s="90">
        <f t="shared" si="3"/>
        <v>0.04273947226</v>
      </c>
      <c r="AM18" s="90">
        <f t="shared" si="3"/>
        <v>-0.6569026595</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131</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110" t="s">
        <v>137</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138</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110" t="s">
        <v>139</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4">SUM(AD$5:AD$6)</f>
        <v>22858</v>
      </c>
      <c r="AE23" s="92">
        <f t="shared" si="4"/>
        <v>18250.77</v>
      </c>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5">SUM(AD$7:AD$11)</f>
        <v>33953</v>
      </c>
      <c r="AE24" s="92">
        <f t="shared" si="5"/>
        <v>38868.1</v>
      </c>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4" width="9.11"/>
    <col customWidth="1" hidden="1" min="5" max="13" width="9.11"/>
    <col customWidth="1" hidden="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4" width="9.11"/>
  </cols>
  <sheetData>
    <row r="1" ht="15.75" customHeight="1">
      <c r="A1" s="113" t="s">
        <v>140</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141</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f>H7</f>
        <v>183</v>
      </c>
      <c r="C5" s="83">
        <v>312.0</v>
      </c>
      <c r="D5" s="83">
        <v>101.0</v>
      </c>
      <c r="E5" s="83">
        <v>21.0</v>
      </c>
      <c r="F5" s="83">
        <v>142.0</v>
      </c>
      <c r="G5" s="83">
        <v>114.0</v>
      </c>
      <c r="H5" s="83">
        <v>443.0</v>
      </c>
      <c r="I5" s="83">
        <v>709.0</v>
      </c>
      <c r="J5" s="83">
        <v>1266.0</v>
      </c>
      <c r="K5" s="83">
        <v>1158.0</v>
      </c>
      <c r="L5" s="83">
        <v>1640.0</v>
      </c>
      <c r="M5" s="83">
        <f>IFERROR(__xludf.DUMMYFUNCTION("IMPORTRANGE(""https://docs.google.com/spreadsheets/d/1dffLfsI-BGVz-K0zdrsWfGaqrFfoLJAhq001merp6Rk/edit?usp=sharing"",""1-12每月!$G5"")"),2023.0)</f>
        <v>2023</v>
      </c>
      <c r="N5" s="83">
        <f>IFERROR(__xludf.DUMMYFUNCTION("IMPORTRANGE(""https://docs.google.com/spreadsheets/d/1SzxpZPUDnwxS8mSOLGEH5NbWU7ZW_VcRmIn7psOvuTs/edit#gid=1650312294?usp=sharing"",""1-12每月!$G5"")"),1087.0)</f>
        <v>1087</v>
      </c>
      <c r="O5" s="83">
        <f>IFERROR(__xludf.DUMMYFUNCTION("IMPORTRANGE(""https://docs.google.com/spreadsheets/d/1ta9i7cAkOPF0LapwmU_YEDA4IPQvKNuaYVMY8vIVPwI/edit#gid=1607741572?usp=sharing"",""1-12每月!$G5"")"),1543.0)</f>
        <v>1543</v>
      </c>
      <c r="P5" s="83">
        <f>IFERROR(__xludf.DUMMYFUNCTION("IMPORTRANGE(""https://docs.google.com/spreadsheets/d/1f4WWQfcNBonYqfzcaBhJlHzPwh34sx4U6naz-Aw2G4I/edit#gid=2097425894?usp=sharing"",""1-12每月!$H5"")"),7521.0)</f>
        <v>7521</v>
      </c>
      <c r="Q5" s="83">
        <f>IFERROR(__xludf.DUMMYFUNCTION("IMPORTRANGE(""https://docs.google.com/spreadsheets/d/1pCmmgCj7Y_SQPZLsiVd3yvND9oLyryVfBwNxC6OUwm8/edit#gid=170549058?usp=sharing"",""1-12每月!$H5"")"),714.0)</f>
        <v>714</v>
      </c>
      <c r="R5" s="83">
        <f>IFERROR(__xludf.DUMMYFUNCTION("IMPORTRANGE(""https://docs.google.com/spreadsheets/d/1hrRqxxacrLITR_JGMRVbhSRCIZIU8gAv0o_aOkHz68M/edit#gid=763155734?usp=sharing"",""1-12每月!$H5"")"),958.0)</f>
        <v>958</v>
      </c>
      <c r="S5" s="83">
        <f>IFERROR(__xludf.DUMMYFUNCTION("IMPORTRANGE(""https://docs.google.com/spreadsheets/d/1AKS3XWcgwNLFRbGU-lJ3UBHDQNdglvKwrv4_Bpp1IjU/edit#gid=73116376?usp=sharing"",""1-12每月!$G5"")"),1344.0)</f>
        <v>1344</v>
      </c>
      <c r="T5" s="83">
        <f>IFERROR(__xludf.DUMMYFUNCTION("IMPORTRANGE(""https://docs.google.com/spreadsheets/d/1wGGXGHkWT5JsjUDTy4FnHN_O9ae4MADbMykqIWVThNc/edit#gid=297806252"",""1-12每月!$G5"")"),992.0)</f>
        <v>992</v>
      </c>
      <c r="U5" s="83">
        <f>IFERROR(__xludf.DUMMYFUNCTION("IMPORTRANGE(""https://docs.google.com/spreadsheets/d/1ShTgtQQDjMKpYx-TJ_lwdxnWSzJNUcNnzR3fJjoaZec/edit#gid=66107904"",""1-12每月!$G5"")"),848.0)</f>
        <v>848</v>
      </c>
      <c r="V5" s="83">
        <f>IFERROR(__xludf.DUMMYFUNCTION("IMPORTRANGE(""https://docs.google.com/spreadsheets/d/1_eyuyKbXFCJd6fVFEKQwugwYCbRCmmWN_M7XR1dtOb8/edit#gid=951918895"",""1-12每月!$G5"")"),31601.0)</f>
        <v>31601</v>
      </c>
      <c r="W5" s="83">
        <f>IFERROR(__xludf.DUMMYFUNCTION("IMPORTRANGE(""https://docs.google.com/spreadsheets/d/1yEpHI9_Y4w8sRmPP9C-mYK4NMfVuTJifGLMj4FMdqek/edit#gid=799087919"",""1-12每月!$G5"")"),8753.0)</f>
        <v>8753</v>
      </c>
      <c r="X5" s="83">
        <f>IFERROR(__xludf.DUMMYFUNCTION("IMPORTRANGE(""https://docs.google.com/spreadsheets/d/1Vbyb9GlrY6jOwvoGyZFB96f7WXYjkT6gvTE37DPDXDI/edit#gid=9591526"",""1-12每月!$G5"")"),17624.0)</f>
        <v>17624</v>
      </c>
      <c r="Y5" s="83">
        <f>IFERROR(__xludf.DUMMYFUNCTION("IMPORTRANGE(""https://docs.google.com/spreadsheets/d/1qeckoJwzWQAg8zQ80D-QJP4pnVYH6l2juaUyHtOu6y8/edit#gid=1905704096"",""1-12每月!$G5"")"),29650.0)</f>
        <v>29650</v>
      </c>
      <c r="Z5" s="83">
        <f>IFERROR(__xludf.DUMMYFUNCTION("IMPORTRANGE(""https://docs.google.com/spreadsheets/d/1BcbIi7AD1VDpy_wMQ0YjCG-iuQy0_tkCVqr72a0Pwbg/edit#gid=1099513714"",""1-12每月!$G5"")"),23338.0)</f>
        <v>23338</v>
      </c>
      <c r="AA5" s="83">
        <f>IFERROR(__xludf.DUMMYFUNCTION("IMPORTRANGE(""https://docs.google.com/spreadsheets/d/1cIFCQPaYiOmIt2O3vkEx5eto8sfRtx3JtAWJ1fv31HI/edit#gid=432689709"",""1-12每月!$G5"")"),13869.0)</f>
        <v>13869</v>
      </c>
      <c r="AB5" s="83">
        <f>IFERROR(__xludf.DUMMYFUNCTION("IMPORTRANGE(""https://docs.google.com/spreadsheets/d/1C8ECYlbes2CJkHHGOAyOYVfrP7PdlGr8RMjK7KZd0_o/edit#gid=495469277"",""1-12每月!$G5"")"),13481.0)</f>
        <v>13481</v>
      </c>
      <c r="AC5" s="83">
        <f>IFERROR(__xludf.DUMMYFUNCTION("IMPORTRANGE(""https://docs.google.com/spreadsheets/d/1ettcrhLPK6tkvHZxDTyU2bGIpGSi2ynG91ln0fqz9iE/edit#gid=1364213386"",""1-12每月!$H5"")"),15078.0)</f>
        <v>15078</v>
      </c>
      <c r="AD5" s="83">
        <f>IFERROR(__xludf.DUMMYFUNCTION("IMPORTRANGE(""https://docs.google.com/spreadsheets/d/1xUhm-MtqzfUO8M5WEWVv9w2EFkv5_PHMOsAlA3CcCWU/edit#gid=1700470961"",""1-12每月!$H5"")"),15967.0)</f>
        <v>15967</v>
      </c>
      <c r="AE5" s="83">
        <f>IFERROR(__xludf.DUMMYFUNCTION("IMPORTRANGE(""https://docs.google.com/spreadsheets/d/1DP8wl0QQLYSZ8R2aQ8wNmiAUXn7lVrqMsdTccpBmnQc/edit#gid=1145593933"",""1-12每月!$H5"")"),13853.0)</f>
        <v>13853</v>
      </c>
      <c r="AF5" s="83">
        <f>IFERROR(__xludf.DUMMYFUNCTION("IMPORTRANGE(""https://docs.google.com/spreadsheets/d/17hbKAHrpKLEbG3r9s1Ay3fOGzvOBzSu3Bn_CD4JNLhY/edit#gid=756408948"",""1-12每月!$H5"")"),14150.0)</f>
        <v>14150</v>
      </c>
      <c r="AG5" s="83">
        <f>IFERROR(__xludf.DUMMYFUNCTION("IMPORTRANGE(""https://docs.google.com/spreadsheets/d/1qeecSCKZ78ENQrsyUYpSNZqvo0-Y-uuGKFA1F06yLEM/edit#gid=874445072"",""1-12每月!$H5"")"),13843.0)</f>
        <v>13843</v>
      </c>
      <c r="AH5" s="83">
        <f>IFERROR(__xludf.DUMMYFUNCTION("IMPORTRANGE(""https://docs.google.com/spreadsheets/d/1BSX0y1fIKw9-3VTr627UzGVjwKe74kwBkuFnvlaueNo/edit#gid=1113655470"",""1-12每月!$H5"")"),11831.0)</f>
        <v>11831</v>
      </c>
      <c r="AI5" s="83">
        <f>IFERROR(__xludf.DUMMYFUNCTION("IMPORTRANGE(""https://docs.google.com/spreadsheets/d/1bQzlrSGiVqBrfQ6FKnw67vhBELFgthonryGzmQabVFQ/edit#gid=1015697053"",""1-12每月!$H5"")"),9653.0)</f>
        <v>9653</v>
      </c>
      <c r="AJ5" s="83">
        <f>IFERROR(__xludf.DUMMYFUNCTION("IMPORTRANGE(""https://docs.google.com/spreadsheets/d/1Pem-mgCz4CF6EUKNVxDQx16g9jie0F5YNDQ_cPnMHYs"",""1-12每月!$H5"")"),11218.0)</f>
        <v>11218</v>
      </c>
      <c r="AK5" s="83">
        <f>IFERROR(__xludf.DUMMYFUNCTION("IMPORTRANGE(""https://docs.google.com/spreadsheets/d/1ZoRtUl0m9T3TpY8H-9-ntNBO_zrYrgNKuAe_XfTeFnU"",""1-12每月!$H5"")"),17470.0)</f>
        <v>17470</v>
      </c>
      <c r="AL5" s="83">
        <f>IFERROR(__xludf.DUMMYFUNCTION("IMPORTRANGE(""https://docs.google.com/spreadsheets/d/1Y9Uv46r1nA3ixCGwTWZqhGQWDt4KVX4iXmhJgHL5CGQ"",""1-12每月!$H5"")"),25136.0)</f>
        <v>25136</v>
      </c>
      <c r="AM5" s="83">
        <f>IFERROR(__xludf.DUMMYFUNCTION("IMPORTRANGE(""https://docs.google.com/spreadsheets/d/1E3X732-CKfouAVQOwKyrePWwI1Bwg9NHD0VD42lyiu4/edit?gid=1513765949#gid=1513765949"",""1-12每月!$H5"")"),18098.0)</f>
        <v>18098</v>
      </c>
      <c r="AN5" s="114"/>
      <c r="AO5" s="114"/>
      <c r="AP5" s="114"/>
      <c r="AQ5" s="114"/>
      <c r="AR5" s="84"/>
    </row>
    <row r="6" ht="15.75" customHeight="1">
      <c r="A6" s="85">
        <v>2.0</v>
      </c>
      <c r="B6" s="83">
        <v>125.0</v>
      </c>
      <c r="C6" s="83">
        <v>111.0</v>
      </c>
      <c r="D6" s="83">
        <v>97.0</v>
      </c>
      <c r="E6" s="83">
        <v>13.0</v>
      </c>
      <c r="F6" s="83">
        <v>38.0</v>
      </c>
      <c r="G6" s="83">
        <v>0.0</v>
      </c>
      <c r="H6" s="83">
        <v>46.0</v>
      </c>
      <c r="I6" s="83">
        <v>175.0</v>
      </c>
      <c r="J6" s="83">
        <v>105.0</v>
      </c>
      <c r="K6" s="83">
        <v>273.0</v>
      </c>
      <c r="L6" s="83">
        <v>235.0</v>
      </c>
      <c r="M6" s="83">
        <f>IFERROR(__xludf.DUMMYFUNCTION("IMPORTRANGE(""https://docs.google.com/spreadsheets/d/1dffLfsI-BGVz-K0zdrsWfGaqrFfoLJAhq001merp6Rk/edit?usp=sharing"",""1-12每月!$G6"")"),369.0)</f>
        <v>369</v>
      </c>
      <c r="N6" s="83">
        <f>IFERROR(__xludf.DUMMYFUNCTION("IMPORTRANGE(""https://docs.google.com/spreadsheets/d/1SzxpZPUDnwxS8mSOLGEH5NbWU7ZW_VcRmIn7psOvuTs/edit#gid=1650312294?usp=sharing"",""1-12每月!$G6"")"),578.0)</f>
        <v>578</v>
      </c>
      <c r="O6" s="83">
        <f>IFERROR(__xludf.DUMMYFUNCTION("IMPORTRANGE(""https://docs.google.com/spreadsheets/d/1ta9i7cAkOPF0LapwmU_YEDA4IPQvKNuaYVMY8vIVPwI/edit#gid=1607741572?usp=sharing"",""1-12每月!$G6"")"),724.0)</f>
        <v>724</v>
      </c>
      <c r="P6" s="83">
        <f>IFERROR(__xludf.DUMMYFUNCTION("IMPORTRANGE(""https://docs.google.com/spreadsheets/d/1f4WWQfcNBonYqfzcaBhJlHzPwh34sx4U6naz-Aw2G4I/edit#gid=2097425894?usp=sharing"",""1-12每月!$H6"")"),473.0)</f>
        <v>473</v>
      </c>
      <c r="Q6" s="83">
        <f>IFERROR(__xludf.DUMMYFUNCTION("IMPORTRANGE(""https://docs.google.com/spreadsheets/d/1pCmmgCj7Y_SQPZLsiVd3yvND9oLyryVfBwNxC6OUwm8/edit#gid=170549058?usp=sharing"",""1-12每月!$H6"")"),508.0)</f>
        <v>508</v>
      </c>
      <c r="R6" s="83">
        <f>IFERROR(__xludf.DUMMYFUNCTION("IMPORTRANGE(""https://docs.google.com/spreadsheets/d/1hrRqxxacrLITR_JGMRVbhSRCIZIU8gAv0o_aOkHz68M/edit#gid=763155734?usp=sharing"",""1-12每月!$H6"")"),888.0)</f>
        <v>888</v>
      </c>
      <c r="S6" s="83">
        <f>IFERROR(__xludf.DUMMYFUNCTION("IMPORTRANGE(""https://docs.google.com/spreadsheets/d/1AKS3XWcgwNLFRbGU-lJ3UBHDQNdglvKwrv4_Bpp1IjU/edit#gid=73116376?usp=sharing"",""1-12每月!$G6"")"),656.0)</f>
        <v>656</v>
      </c>
      <c r="T6" s="83">
        <f>IFERROR(__xludf.DUMMYFUNCTION("IMPORTRANGE(""https://docs.google.com/spreadsheets/d/1wGGXGHkWT5JsjUDTy4FnHN_O9ae4MADbMykqIWVThNc/edit#gid=297806252?usp=sharing"",""1-12每月!$G6"")"),1021.0)</f>
        <v>1021</v>
      </c>
      <c r="U6" s="83">
        <f>IFERROR(__xludf.DUMMYFUNCTION("IMPORTRANGE(""https://docs.google.com/spreadsheets/d/1ShTgtQQDjMKpYx-TJ_lwdxnWSzJNUcNnzR3fJjoaZec/edit#gid=66107904?usp=sharing"",""1-12每月!$G6"")"),918.0)</f>
        <v>918</v>
      </c>
      <c r="V6" s="83">
        <f>IFERROR(__xludf.DUMMYFUNCTION("IMPORTRANGE(""https://docs.google.com/spreadsheets/d/1_eyuyKbXFCJd6fVFEKQwugwYCbRCmmWN_M7XR1dtOb8/edit#gid=951918895?usp=sharing"",""1-12每月!$G6"")"),17536.0)</f>
        <v>17536</v>
      </c>
      <c r="W6" s="83">
        <f>IFERROR(__xludf.DUMMYFUNCTION("IMPORTRANGE(""https://docs.google.com/spreadsheets/d/1yEpHI9_Y4w8sRmPP9C-mYK4NMfVuTJifGLMj4FMdqek/edit#gid=799087919?usp=sharing"",""1-12每月!$G6"")"),38367.0)</f>
        <v>38367</v>
      </c>
      <c r="X6" s="83">
        <f>IFERROR(__xludf.DUMMYFUNCTION("IMPORTRANGE(""https://docs.google.com/spreadsheets/d/1Vbyb9GlrY6jOwvoGyZFB96f7WXYjkT6gvTE37DPDXDI/edit#gid=9591526?usp=sharing"",""1-12每月!$G6"")"),25644.0)</f>
        <v>25644</v>
      </c>
      <c r="Y6" s="83">
        <f>IFERROR(__xludf.DUMMYFUNCTION("IMPORTRANGE(""https://docs.google.com/spreadsheets/d/1qeckoJwzWQAg8zQ80D-QJP4pnVYH6l2juaUyHtOu6y8/edit#gid=1905704096?usp=sharing"",""1-12每月!$G6"")"),20797.0)</f>
        <v>20797</v>
      </c>
      <c r="Z6" s="83">
        <f>IFERROR(__xludf.DUMMYFUNCTION("IMPORTRANGE(""https://docs.google.com/spreadsheets/d/1BcbIi7AD1VDpy_wMQ0YjCG-iuQy0_tkCVqr72a0Pwbg/edit#gid=1099513714?usp=sharing"",""1-12每月!$G6"")"),20628.0)</f>
        <v>20628</v>
      </c>
      <c r="AA6" s="83">
        <f>IFERROR(__xludf.DUMMYFUNCTION("IMPORTRANGE(""https://docs.google.com/spreadsheets/d/1cIFCQPaYiOmIt2O3vkEx5eto8sfRtx3JtAWJ1fv31HI/edit#gid=432689709?usp=sharing"",""1-12每月!$G6"")"),22304.0)</f>
        <v>22304</v>
      </c>
      <c r="AB6" s="83">
        <f>IFERROR(__xludf.DUMMYFUNCTION("IMPORTRANGE(""https://docs.google.com/spreadsheets/d/1C8ECYlbes2CJkHHGOAyOYVfrP7PdlGr8RMjK7KZd0_o/edit#gid=495469277?usp=sharing"",""1-12每月!$G6"")"),15399.0)</f>
        <v>15399</v>
      </c>
      <c r="AC6" s="83">
        <f>IFERROR(__xludf.DUMMYFUNCTION("IMPORTRANGE(""https://docs.google.com/spreadsheets/d/1ettcrhLPK6tkvHZxDTyU2bGIpGSi2ynG91ln0fqz9iE/edit#gid=1364213386?usp=sharing"",""1-12每月!$H6"")"),17306.0)</f>
        <v>17306</v>
      </c>
      <c r="AD6" s="83">
        <f>IFERROR(__xludf.DUMMYFUNCTION("IMPORTRANGE(""https://docs.google.com/spreadsheets/d/1xUhm-MtqzfUO8M5WEWVv9w2EFkv5_PHMOsAlA3CcCWU/edit#gid=1700470961?usp=sharing"",""1-12每月!$H6"")"),15069.0)</f>
        <v>15069</v>
      </c>
      <c r="AE6" s="83">
        <f>IFERROR(__xludf.DUMMYFUNCTION("IMPORTRANGE(""https://docs.google.com/spreadsheets/d/1DP8wl0QQLYSZ8R2aQ8wNmiAUXn7lVrqMsdTccpBmnQc/edit#gid=1145593933?usp=sharing"",""1-12每月!$H6"")"),11182.0)</f>
        <v>11182</v>
      </c>
      <c r="AF6" s="83">
        <f>IFERROR(__xludf.DUMMYFUNCTION("IMPORTRANGE(""https://docs.google.com/spreadsheets/d/17hbKAHrpKLEbG3r9s1Ay3fOGzvOBzSu3Bn_CD4JNLhY/edit#gid=756408948?usp=sharing"",""1-12每月!$H6"")"),13621.0)</f>
        <v>13621</v>
      </c>
      <c r="AG6" s="83">
        <f>IFERROR(__xludf.DUMMYFUNCTION("IMPORTRANGE(""https://docs.google.com/spreadsheets/d/1qeecSCKZ78ENQrsyUYpSNZqvo0-Y-uuGKFA1F06yLEM/edit#gid=874445072?usp=sharing"",""1-12每月!$H6"")"),11721.0)</f>
        <v>11721</v>
      </c>
      <c r="AH6" s="83">
        <f>IFERROR(__xludf.DUMMYFUNCTION("IMPORTRANGE(""https://docs.google.com/spreadsheets/d/1BSX0y1fIKw9-3VTr627UzGVjwKe74kwBkuFnvlaueNo/edit#gid=1113655470"",""1-12每月!$H6"")"),13457.0)</f>
        <v>13457</v>
      </c>
      <c r="AI6" s="83">
        <f>IFERROR(__xludf.DUMMYFUNCTION("IMPORTRANGE(""https://docs.google.com/spreadsheets/d/1bQzlrSGiVqBrfQ6FKnw67vhBELFgthonryGzmQabVFQ/edit#gid=1015697053?usp=sharing"",""1-12每月!$H6"")"),11393.0)</f>
        <v>11393</v>
      </c>
      <c r="AJ6" s="83">
        <f>IFERROR(__xludf.DUMMYFUNCTION("IMPORTRANGE(""https://docs.google.com/spreadsheets/d/1Pem-mgCz4CF6EUKNVxDQx16g9jie0F5YNDQ_cPnMHYs?usp=sharing"",""1-12每月!$H6"")"),9179.0)</f>
        <v>9179</v>
      </c>
      <c r="AK6" s="83">
        <f>IFERROR(__xludf.DUMMYFUNCTION("IMPORTRANGE(""https://docs.google.com/spreadsheets/d/1ZoRtUl0m9T3TpY8H-9-ntNBO_zrYrgNKuAe_XfTeFnU"",""1-12每月!$H6"")"),23753.0)</f>
        <v>23753</v>
      </c>
      <c r="AL6" s="83">
        <f>IFERROR(__xludf.DUMMYFUNCTION("IMPORTRANGE(""https://docs.google.com/spreadsheets/d/1Y9Uv46r1nA3ixCGwTWZqhGQWDt4KVX4iXmhJgHL5CGQ"",""1-12每月!$H6"")"),16890.0)</f>
        <v>16890</v>
      </c>
      <c r="AM6" s="114">
        <f>IFERROR(__xludf.DUMMYFUNCTION("IMPORTRANGE(""https://docs.google.com/spreadsheets/d/1E3X732-CKfouAVQOwKyrePWwI1Bwg9NHD0VD42lyiu4/edit?gid=1513765949#gid=1513765949"",""1-12每月!$H6"")"),27412.0)</f>
        <v>27412</v>
      </c>
      <c r="AN6" s="114"/>
      <c r="AO6" s="114"/>
      <c r="AP6" s="114"/>
      <c r="AQ6" s="114"/>
      <c r="AR6" s="84"/>
    </row>
    <row r="7" ht="15.75" customHeight="1">
      <c r="A7" s="85">
        <v>3.0</v>
      </c>
      <c r="B7" s="83">
        <v>658.0</v>
      </c>
      <c r="C7" s="83">
        <v>594.0</v>
      </c>
      <c r="D7" s="83">
        <v>855.0</v>
      </c>
      <c r="E7" s="83">
        <v>478.0</v>
      </c>
      <c r="F7" s="83">
        <v>327.0</v>
      </c>
      <c r="G7" s="83">
        <v>72.0</v>
      </c>
      <c r="H7" s="83">
        <v>183.0</v>
      </c>
      <c r="I7" s="83">
        <v>231.0</v>
      </c>
      <c r="J7" s="83">
        <v>609.0</v>
      </c>
      <c r="K7" s="83">
        <v>167.0</v>
      </c>
      <c r="L7" s="83">
        <v>437.0</v>
      </c>
      <c r="M7" s="83">
        <f>IFERROR(__xludf.DUMMYFUNCTION("IMPORTRANGE(""https://docs.google.com/spreadsheets/d/1dffLfsI-BGVz-K0zdrsWfGaqrFfoLJAhq001merp6Rk/edit?usp=sharing"",""1-12每月!$G7"")"),77.0)</f>
        <v>77</v>
      </c>
      <c r="N7" s="83">
        <f>IFERROR(__xludf.DUMMYFUNCTION("IMPORTRANGE(""https://docs.google.com/spreadsheets/d/1SzxpZPUDnwxS8mSOLGEH5NbWU7ZW_VcRmIn7psOvuTs/edit#gid=1650312294?usp=sharing"",""1-12每月!$G7"")"),193.0)</f>
        <v>193</v>
      </c>
      <c r="O7" s="83">
        <f>IFERROR(__xludf.DUMMYFUNCTION("IMPORTRANGE(""https://docs.google.com/spreadsheets/d/1ta9i7cAkOPF0LapwmU_YEDA4IPQvKNuaYVMY8vIVPwI/edit#gid=1607741572?usp=sharing"",""1-12每月!$G7"")"),135.0)</f>
        <v>135</v>
      </c>
      <c r="P7" s="83">
        <f>IFERROR(__xludf.DUMMYFUNCTION("IMPORTRANGE(""https://docs.google.com/spreadsheets/d/1f4WWQfcNBonYqfzcaBhJlHzPwh34sx4U6naz-Aw2G4I/edit#gid=2097425894?usp=sharing"",""1-12每月!$H7"")"),275.0)</f>
        <v>275</v>
      </c>
      <c r="Q7" s="83">
        <f>IFERROR(__xludf.DUMMYFUNCTION("IMPORTRANGE(""https://docs.google.com/spreadsheets/d/1pCmmgCj7Y_SQPZLsiVd3yvND9oLyryVfBwNxC6OUwm8/edit#gid=170549058?usp=sharing"",""1-12每月!$H7"")"),136.0)</f>
        <v>136</v>
      </c>
      <c r="R7" s="83">
        <f>IFERROR(__xludf.DUMMYFUNCTION("IMPORTRANGE(""https://docs.google.com/spreadsheets/d/1hrRqxxacrLITR_JGMRVbhSRCIZIU8gAv0o_aOkHz68M/edit#gid=763155734?usp=sharing"",""1-12每月!$H7"")"),111.0)</f>
        <v>111</v>
      </c>
      <c r="S7" s="83">
        <f>IFERROR(__xludf.DUMMYFUNCTION("IMPORTRANGE(""https://docs.google.com/spreadsheets/d/1AKS3XWcgwNLFRbGU-lJ3UBHDQNdglvKwrv4_Bpp1IjU/edit#gid=73116376?usp=sharing"",""1-12每月!$G7"")"),108.0)</f>
        <v>108</v>
      </c>
      <c r="T7" s="83">
        <f>IFERROR(__xludf.DUMMYFUNCTION("IMPORTRANGE(""https://docs.google.com/spreadsheets/d/1wGGXGHkWT5JsjUDTy4FnHN_O9ae4MADbMykqIWVThNc/edit#gid=297806252?usp=sharing"",""1-12每月!$G7"")"),759.0)</f>
        <v>759</v>
      </c>
      <c r="U7" s="83">
        <f>IFERROR(__xludf.DUMMYFUNCTION("IMPORTRANGE(""https://docs.google.com/spreadsheets/d/1ShTgtQQDjMKpYx-TJ_lwdxnWSzJNUcNnzR3fJjoaZec/edit#gid=66107904?usp=sharing"",""1-12每月!$G7"")"),1251.0)</f>
        <v>1251</v>
      </c>
      <c r="V7" s="83">
        <f>IFERROR(__xludf.DUMMYFUNCTION("IMPORTRANGE(""https://docs.google.com/spreadsheets/d/1_eyuyKbXFCJd6fVFEKQwugwYCbRCmmWN_M7XR1dtOb8/edit#gid=951918895?usp=sharing"",""1-12每月!$G7"")"),27967.0)</f>
        <v>27967</v>
      </c>
      <c r="W7" s="83">
        <f>IFERROR(__xludf.DUMMYFUNCTION("IMPORTRANGE(""https://docs.google.com/spreadsheets/d/1yEpHI9_Y4w8sRmPP9C-mYK4NMfVuTJifGLMj4FMdqek/edit#gid=799087919?usp=sharing"",""1-12每月!$G7"")"),26155.0)</f>
        <v>26155</v>
      </c>
      <c r="X7" s="83">
        <f>IFERROR(__xludf.DUMMYFUNCTION("IMPORTRANGE(""https://docs.google.com/spreadsheets/d/1Vbyb9GlrY6jOwvoGyZFB96f7WXYjkT6gvTE37DPDXDI/edit#gid=9591526?usp=sharing"",""1-12每月!$G7"")"),23097.0)</f>
        <v>23097</v>
      </c>
      <c r="Y7" s="83">
        <f>IFERROR(__xludf.DUMMYFUNCTION("IMPORTRANGE(""https://docs.google.com/spreadsheets/d/1qeckoJwzWQAg8zQ80D-QJP4pnVYH6l2juaUyHtOu6y8/edit#gid=1905704096?usp=sharing"",""1-12每月!$G7"")"),27411.0)</f>
        <v>27411</v>
      </c>
      <c r="Z7" s="83">
        <f>IFERROR(__xludf.DUMMYFUNCTION("IMPORTRANGE(""https://docs.google.com/spreadsheets/d/1BcbIi7AD1VDpy_wMQ0YjCG-iuQy0_tkCVqr72a0Pwbg/edit#gid=1099513714?usp=sharing"",""1-12每月!$G7"")"),22421.0)</f>
        <v>22421</v>
      </c>
      <c r="AA7" s="83">
        <f>IFERROR(__xludf.DUMMYFUNCTION("IMPORTRANGE(""https://docs.google.com/spreadsheets/d/1cIFCQPaYiOmIt2O3vkEx5eto8sfRtx3JtAWJ1fv31HI/edit#gid=432689709?usp=sharing"",""1-12每月!$G7"")"),20672.0)</f>
        <v>20672</v>
      </c>
      <c r="AB7" s="83">
        <f>IFERROR(__xludf.DUMMYFUNCTION("IMPORTRANGE(""https://docs.google.com/spreadsheets/d/1C8ECYlbes2CJkHHGOAyOYVfrP7PdlGr8RMjK7KZd0_o/edit#gid=495469277?usp=sharing"",""1-12每月!$G7"")"),14948.0)</f>
        <v>14948</v>
      </c>
      <c r="AC7" s="83">
        <f>IFERROR(__xludf.DUMMYFUNCTION("IMPORTRANGE(""https://docs.google.com/spreadsheets/d/1ettcrhLPK6tkvHZxDTyU2bGIpGSi2ynG91ln0fqz9iE/edit#gid=1364213386?usp=sharing"",""1-12每月!$H7"")"),15725.0)</f>
        <v>15725</v>
      </c>
      <c r="AD7" s="83">
        <f>IFERROR(__xludf.DUMMYFUNCTION("IMPORTRANGE(""https://docs.google.com/spreadsheets/d/1xUhm-MtqzfUO8M5WEWVv9w2EFkv5_PHMOsAlA3CcCWU/edit#gid=1700470961?usp=sharing"",""1-12每月!$H7"")"),15318.0)</f>
        <v>15318</v>
      </c>
      <c r="AE7" s="83">
        <f>IFERROR(__xludf.DUMMYFUNCTION("IMPORTRANGE(""https://docs.google.com/spreadsheets/d/1DP8wl0QQLYSZ8R2aQ8wNmiAUXn7lVrqMsdTccpBmnQc/edit#gid=1145593933?usp=sharing"",""1-12每月!$H7"")"),12494.0)</f>
        <v>12494</v>
      </c>
      <c r="AF7" s="83">
        <f>IFERROR(__xludf.DUMMYFUNCTION("IMPORTRANGE(""https://docs.google.com/spreadsheets/d/17hbKAHrpKLEbG3r9s1Ay3fOGzvOBzSu3Bn_CD4JNLhY/edit#gid=756408948?usp=sharing"",""1-12每月!$H7"")"),15319.0)</f>
        <v>15319</v>
      </c>
      <c r="AG7" s="83">
        <f>IFERROR(__xludf.DUMMYFUNCTION("IMPORTRANGE(""https://docs.google.com/spreadsheets/d/1qeecSCKZ78ENQrsyUYpSNZqvo0-Y-uuGKFA1F06yLEM/edit#gid=874445072?usp=sharing"",""1-12每月!$H7"")"),8533.0)</f>
        <v>8533</v>
      </c>
      <c r="AH7" s="83">
        <f>IFERROR(__xludf.DUMMYFUNCTION("IMPORTRANGE(""https://docs.google.com/spreadsheets/d/1BSX0y1fIKw9-3VTr627UzGVjwKe74kwBkuFnvlaueNo/edit#gid=1113655470"",""1-12每月!$H7"")"),12905.0)</f>
        <v>12905</v>
      </c>
      <c r="AI7" s="83">
        <f>IFERROR(__xludf.DUMMYFUNCTION("IMPORTRANGE(""https://docs.google.com/spreadsheets/d/1bQzlrSGiVqBrfQ6FKnw67vhBELFgthonryGzmQabVFQ/edit#gid=1015697053?usp=sharing"",""1-12每月!$H7"")"),10795.0)</f>
        <v>10795</v>
      </c>
      <c r="AJ7" s="83">
        <f>IFERROR(__xludf.DUMMYFUNCTION("IMPORTRANGE(""https://docs.google.com/spreadsheets/d/1Pem-mgCz4CF6EUKNVxDQx16g9jie0F5YNDQ_cPnMHYs?usp=sharing"",""1-12每月!$H7"")"),8258.0)</f>
        <v>8258</v>
      </c>
      <c r="AK7" s="83">
        <f>IFERROR(__xludf.DUMMYFUNCTION("IMPORTRANGE(""https://docs.google.com/spreadsheets/d/1ZoRtUl0m9T3TpY8H-9-ntNBO_zrYrgNKuAe_XfTeFnU"",""1-12每月!$H7"")"),16898.0)</f>
        <v>16898</v>
      </c>
      <c r="AL7" s="83">
        <f>IFERROR(__xludf.DUMMYFUNCTION("IMPORTRANGE(""https://docs.google.com/spreadsheets/d/1Y9Uv46r1nA3ixCGwTWZqhGQWDt4KVX4iXmhJgHL5CGQ"",""1-12每月!$H7"")"),18347.0)</f>
        <v>18347</v>
      </c>
      <c r="AM7" s="114">
        <f>IFERROR(__xludf.DUMMYFUNCTION("IMPORTRANGE(""https://docs.google.com/spreadsheets/d/1E3X732-CKfouAVQOwKyrePWwI1Bwg9NHD0VD42lyiu4/edit?gid=1513765949#gid=1513765949"",""1-12每月!$H7"")"),17651.0)</f>
        <v>17651</v>
      </c>
      <c r="AN7" s="114"/>
      <c r="AO7" s="114"/>
      <c r="AP7" s="114"/>
      <c r="AQ7" s="114"/>
      <c r="AR7" s="84"/>
    </row>
    <row r="8" ht="15.75" customHeight="1">
      <c r="A8" s="85">
        <v>4.0</v>
      </c>
      <c r="B8" s="83">
        <v>3623.0</v>
      </c>
      <c r="C8" s="83">
        <v>2974.0</v>
      </c>
      <c r="D8" s="83">
        <v>1093.0</v>
      </c>
      <c r="E8" s="83">
        <v>824.0</v>
      </c>
      <c r="F8" s="83">
        <v>873.0</v>
      </c>
      <c r="G8" s="83">
        <v>873.0</v>
      </c>
      <c r="H8" s="83">
        <v>1449.0</v>
      </c>
      <c r="I8" s="83">
        <v>480.0</v>
      </c>
      <c r="J8" s="83">
        <v>1481.0</v>
      </c>
      <c r="K8" s="83">
        <v>1444.0</v>
      </c>
      <c r="L8" s="83">
        <v>1986.0</v>
      </c>
      <c r="M8" s="83">
        <f>IFERROR(__xludf.DUMMYFUNCTION("IMPORTRANGE(""https://docs.google.com/spreadsheets/d/1dffLfsI-BGVz-K0zdrsWfGaqrFfoLJAhq001merp6Rk/edit?usp=sharing"",""1-12每月!$G8"")"),1805.0)</f>
        <v>1805</v>
      </c>
      <c r="N8" s="83">
        <f>IFERROR(__xludf.DUMMYFUNCTION("IMPORTRANGE(""https://docs.google.com/spreadsheets/d/1SzxpZPUDnwxS8mSOLGEH5NbWU7ZW_VcRmIn7psOvuTs/edit#gid=1650312294?usp=sharing"",""1-12每月!$G8"")"),2498.0)</f>
        <v>2498</v>
      </c>
      <c r="O8" s="83">
        <f>IFERROR(__xludf.DUMMYFUNCTION("IMPORTRANGE(""https://docs.google.com/spreadsheets/d/1ta9i7cAkOPF0LapwmU_YEDA4IPQvKNuaYVMY8vIVPwI/edit#gid=1607741572?usp=sharing"",""1-12每月!$G8"")"),1682.0)</f>
        <v>1682</v>
      </c>
      <c r="P8" s="83">
        <f>IFERROR(__xludf.DUMMYFUNCTION("IMPORTRANGE(""https://docs.google.com/spreadsheets/d/1f4WWQfcNBonYqfzcaBhJlHzPwh34sx4U6naz-Aw2G4I/edit#gid=2097425894?usp=sharing"",""1-12每月!$H8"")"),1119.0)</f>
        <v>1119</v>
      </c>
      <c r="Q8" s="83">
        <f>IFERROR(__xludf.DUMMYFUNCTION("IMPORTRANGE(""https://docs.google.com/spreadsheets/d/1pCmmgCj7Y_SQPZLsiVd3yvND9oLyryVfBwNxC6OUwm8/edit#gid=170549058?usp=sharing"",""1-12每月!$H8"")"),2849.0)</f>
        <v>2849</v>
      </c>
      <c r="R8" s="83">
        <f>IFERROR(__xludf.DUMMYFUNCTION("IMPORTRANGE(""https://docs.google.com/spreadsheets/d/1hrRqxxacrLITR_JGMRVbhSRCIZIU8gAv0o_aOkHz68M/edit#gid=763155734?usp=sharing"",""1-12每月!$H8"")"),1041.0)</f>
        <v>1041</v>
      </c>
      <c r="S8" s="83">
        <f>IFERROR(__xludf.DUMMYFUNCTION("IMPORTRANGE(""https://docs.google.com/spreadsheets/d/1AKS3XWcgwNLFRbGU-lJ3UBHDQNdglvKwrv4_Bpp1IjU/edit#gid=73116376?usp=sharing"",""1-12每月!$G8"")"),1301.0)</f>
        <v>1301</v>
      </c>
      <c r="T8" s="83">
        <f>IFERROR(__xludf.DUMMYFUNCTION("IMPORTRANGE(""https://docs.google.com/spreadsheets/d/1wGGXGHkWT5JsjUDTy4FnHN_O9ae4MADbMykqIWVThNc/edit#gid=297806252?usp=sharing"",""1-12每月!$G8"")"),1978.0)</f>
        <v>1978</v>
      </c>
      <c r="U8" s="83">
        <f>IFERROR(__xludf.DUMMYFUNCTION("IMPORTRANGE(""https://docs.google.com/spreadsheets/d/1ShTgtQQDjMKpYx-TJ_lwdxnWSzJNUcNnzR3fJjoaZec/edit#gid=66107904?usp=sharing"",""1-12每月!$G8"")"),2226.0)</f>
        <v>2226</v>
      </c>
      <c r="V8" s="83">
        <f>IFERROR(__xludf.DUMMYFUNCTION("IMPORTRANGE(""https://docs.google.com/spreadsheets/d/1_eyuyKbXFCJd6fVFEKQwugwYCbRCmmWN_M7XR1dtOb8/edit#gid=951918895?usp=sharing"",""1-12每月!$G8"")"),31784.0)</f>
        <v>31784</v>
      </c>
      <c r="W8" s="83">
        <f>IFERROR(__xludf.DUMMYFUNCTION("IMPORTRANGE(""https://docs.google.com/spreadsheets/d/1yEpHI9_Y4w8sRmPP9C-mYK4NMfVuTJifGLMj4FMdqek/edit#gid=799087919?usp=sharing"",""1-12每月!$G8"")"),25066.0)</f>
        <v>25066</v>
      </c>
      <c r="X8" s="83">
        <f>IFERROR(__xludf.DUMMYFUNCTION("IMPORTRANGE(""https://docs.google.com/spreadsheets/d/1Vbyb9GlrY6jOwvoGyZFB96f7WXYjkT6gvTE37DPDXDI/edit#gid=9591526?usp=sharing"",""1-12每月!$G8"")"),27719.0)</f>
        <v>27719</v>
      </c>
      <c r="Y8" s="83">
        <f>IFERROR(__xludf.DUMMYFUNCTION("IMPORTRANGE(""https://docs.google.com/spreadsheets/d/1qeckoJwzWQAg8zQ80D-QJP4pnVYH6l2juaUyHtOu6y8/edit#gid=1905704096?usp=sharing"",""1-12每月!$G8"")"),32553.0)</f>
        <v>32553</v>
      </c>
      <c r="Z8" s="83">
        <f>IFERROR(__xludf.DUMMYFUNCTION("IMPORTRANGE(""https://docs.google.com/spreadsheets/d/1BcbIi7AD1VDpy_wMQ0YjCG-iuQy0_tkCVqr72a0Pwbg/edit#gid=1099513714?usp=sharing"",""1-12每月!$G8"")"),22461.0)</f>
        <v>22461</v>
      </c>
      <c r="AA8" s="83">
        <f>IFERROR(__xludf.DUMMYFUNCTION("IMPORTRANGE(""https://docs.google.com/spreadsheets/d/1cIFCQPaYiOmIt2O3vkEx5eto8sfRtx3JtAWJ1fv31HI/edit#gid=432689709?usp=sharing"",""1-12每月!$G8"")"),18055.0)</f>
        <v>18055</v>
      </c>
      <c r="AB8" s="83">
        <f>IFERROR(__xludf.DUMMYFUNCTION("IMPORTRANGE(""https://docs.google.com/spreadsheets/d/1C8ECYlbes2CJkHHGOAyOYVfrP7PdlGr8RMjK7KZd0_o/edit#gid=495469277?usp=sharing"",""1-12每月!$G8"")"),15987.0)</f>
        <v>15987</v>
      </c>
      <c r="AC8" s="83">
        <f>IFERROR(__xludf.DUMMYFUNCTION("IMPORTRANGE(""https://docs.google.com/spreadsheets/d/1ettcrhLPK6tkvHZxDTyU2bGIpGSi2ynG91ln0fqz9iE/edit#gid=1364213386?usp=sharing"",""1-12每月!$H8"")"),17189.0)</f>
        <v>17189</v>
      </c>
      <c r="AD8" s="83">
        <f>IFERROR(__xludf.DUMMYFUNCTION("IMPORTRANGE(""https://docs.google.com/spreadsheets/d/1xUhm-MtqzfUO8M5WEWVv9w2EFkv5_PHMOsAlA3CcCWU/edit#gid=1700470961?usp=sharing"",""1-12每月!$H8"")"),16966.0)</f>
        <v>16966</v>
      </c>
      <c r="AE8" s="83">
        <f>IFERROR(__xludf.DUMMYFUNCTION("IMPORTRANGE(""https://docs.google.com/spreadsheets/d/1DP8wl0QQLYSZ8R2aQ8wNmiAUXn7lVrqMsdTccpBmnQc/edit#gid=1145593933?usp=sharing"",""1-12每月!$H8"")"),15795.0)</f>
        <v>15795</v>
      </c>
      <c r="AF8" s="83">
        <f>IFERROR(__xludf.DUMMYFUNCTION("IMPORTRANGE(""https://docs.google.com/spreadsheets/d/17hbKAHrpKLEbG3r9s1Ay3fOGzvOBzSu3Bn_CD4JNLhY/edit#gid=756408948?usp=sharing"",""1-12每月!$H8"")"),15052.0)</f>
        <v>15052</v>
      </c>
      <c r="AG8" s="83">
        <f>IFERROR(__xludf.DUMMYFUNCTION("IMPORTRANGE(""https://docs.google.com/spreadsheets/d/1qeecSCKZ78ENQrsyUYpSNZqvo0-Y-uuGKFA1F06yLEM/edit#gid=874445072?usp=sharing"",""1-12每月!$H8"")"),7858.0)</f>
        <v>7858</v>
      </c>
      <c r="AH8" s="83">
        <f>IFERROR(__xludf.DUMMYFUNCTION("IMPORTRANGE(""https://docs.google.com/spreadsheets/d/1BSX0y1fIKw9-3VTr627UzGVjwKe74kwBkuFnvlaueNo/edit#gid=1113655470"",""1-12每月!$H8"")"),14545.0)</f>
        <v>14545</v>
      </c>
      <c r="AI8" s="83">
        <f>IFERROR(__xludf.DUMMYFUNCTION("IMPORTRANGE(""https://docs.google.com/spreadsheets/d/1bQzlrSGiVqBrfQ6FKnw67vhBELFgthonryGzmQabVFQ/edit#gid=1015697053?usp=sharing"",""1-12每月!$H8"")"),11389.0)</f>
        <v>11389</v>
      </c>
      <c r="AJ8" s="83">
        <f>IFERROR(__xludf.DUMMYFUNCTION("IMPORTRANGE(""https://docs.google.com/spreadsheets/d/1Pem-mgCz4CF6EUKNVxDQx16g9jie0F5YNDQ_cPnMHYs?usp=sharing"",""1-12每月!$H8"")"),11920.0)</f>
        <v>11920</v>
      </c>
      <c r="AK8" s="83">
        <f>IFERROR(__xludf.DUMMYFUNCTION("IMPORTRANGE(""https://docs.google.com/spreadsheets/d/1ZoRtUl0m9T3TpY8H-9-ntNBO_zrYrgNKuAe_XfTeFnU"",""1-12每月!$H8"")"),967.0)</f>
        <v>967</v>
      </c>
      <c r="AL8" s="83">
        <f>IFERROR(__xludf.DUMMYFUNCTION("IMPORTRANGE(""https://docs.google.com/spreadsheets/d/1Y9Uv46r1nA3ixCGwTWZqhGQWDt4KVX4iXmhJgHL5CGQ"",""1-12每月!$H8"")"),18744.0)</f>
        <v>18744</v>
      </c>
      <c r="AM8" s="114">
        <f>IFERROR(__xludf.DUMMYFUNCTION("IMPORTRANGE(""https://docs.google.com/spreadsheets/d/1E3X732-CKfouAVQOwKyrePWwI1Bwg9NHD0VD42lyiu4/edit?gid=1513765949#gid=1513765949"",""1-12每月!$H8"")"),19556.0)</f>
        <v>19556</v>
      </c>
      <c r="AN8" s="114"/>
      <c r="AO8" s="114"/>
      <c r="AP8" s="114"/>
      <c r="AQ8" s="114"/>
      <c r="AR8" s="84"/>
    </row>
    <row r="9" ht="15.75" customHeight="1">
      <c r="A9" s="85">
        <v>5.0</v>
      </c>
      <c r="B9" s="83">
        <v>6160.0</v>
      </c>
      <c r="C9" s="83">
        <v>7284.0</v>
      </c>
      <c r="D9" s="83">
        <v>3204.0</v>
      </c>
      <c r="E9" s="83">
        <v>2977.0</v>
      </c>
      <c r="F9" s="83">
        <v>4475.0</v>
      </c>
      <c r="G9" s="83">
        <v>2672.0</v>
      </c>
      <c r="H9" s="83">
        <v>2280.0</v>
      </c>
      <c r="I9" s="83">
        <v>1879.0</v>
      </c>
      <c r="J9" s="83">
        <v>3937.0</v>
      </c>
      <c r="K9" s="83">
        <v>5225.0</v>
      </c>
      <c r="L9" s="83">
        <v>4256.0</v>
      </c>
      <c r="M9" s="83">
        <f>IFERROR(__xludf.DUMMYFUNCTION("IMPORTRANGE(""https://docs.google.com/spreadsheets/d/1dffLfsI-BGVz-K0zdrsWfGaqrFfoLJAhq001merp6Rk/edit?usp=sharing"",""1-12每月!$G9"")"),3634.0)</f>
        <v>3634</v>
      </c>
      <c r="N9" s="83">
        <f>IFERROR(__xludf.DUMMYFUNCTION("IMPORTRANGE(""https://docs.google.com/spreadsheets/d/1SzxpZPUDnwxS8mSOLGEH5NbWU7ZW_VcRmIn7psOvuTs/edit#gid=1650312294?usp=sharing"",""1-12每月!$G9"")"),4821.0)</f>
        <v>4821</v>
      </c>
      <c r="O9" s="83">
        <f>IFERROR(__xludf.DUMMYFUNCTION("IMPORTRANGE(""https://docs.google.com/spreadsheets/d/1ta9i7cAkOPF0LapwmU_YEDA4IPQvKNuaYVMY8vIVPwI/edit#gid=1607741572?usp=sharing"",""1-12每月!$G9"")"),2797.0)</f>
        <v>2797</v>
      </c>
      <c r="P9" s="83">
        <f>IFERROR(__xludf.DUMMYFUNCTION("IMPORTRANGE(""https://docs.google.com/spreadsheets/d/1f4WWQfcNBonYqfzcaBhJlHzPwh34sx4U6naz-Aw2G4I/edit#gid=2097425894?usp=sharing"",""1-12每月!$H9"")"),2866.0)</f>
        <v>2866</v>
      </c>
      <c r="Q9" s="83">
        <f>IFERROR(__xludf.DUMMYFUNCTION("IMPORTRANGE(""https://docs.google.com/spreadsheets/d/1pCmmgCj7Y_SQPZLsiVd3yvND9oLyryVfBwNxC6OUwm8/edit#gid=170549058?usp=sharing"",""1-12每月!$H9"")"),4138.0)</f>
        <v>4138</v>
      </c>
      <c r="R9" s="83">
        <f>IFERROR(__xludf.DUMMYFUNCTION("IMPORTRANGE(""https://docs.google.com/spreadsheets/d/1hrRqxxacrLITR_JGMRVbhSRCIZIU8gAv0o_aOkHz68M/edit#gid=763155734?usp=sharing"",""1-12每月!$H9"")"),3045.0)</f>
        <v>3045</v>
      </c>
      <c r="S9" s="83">
        <f>IFERROR(__xludf.DUMMYFUNCTION("IMPORTRANGE(""https://docs.google.com/spreadsheets/d/1AKS3XWcgwNLFRbGU-lJ3UBHDQNdglvKwrv4_Bpp1IjU/edit#gid=73116376?usp=sharing"",""1-12每月!$G9"")"),3441.0)</f>
        <v>3441</v>
      </c>
      <c r="T9" s="83">
        <f>IFERROR(__xludf.DUMMYFUNCTION("IMPORTRANGE(""https://docs.google.com/spreadsheets/d/1wGGXGHkWT5JsjUDTy4FnHN_O9ae4MADbMykqIWVThNc/edit#gid=297806252?usp=sharing"",""1-12每月!$G9"")"),4282.0)</f>
        <v>4282</v>
      </c>
      <c r="U9" s="83">
        <f>IFERROR(__xludf.DUMMYFUNCTION("IMPORTRANGE(""https://docs.google.com/spreadsheets/d/1ShTgtQQDjMKpYx-TJ_lwdxnWSzJNUcNnzR3fJjoaZec/edit#gid=66107904?usp=sharing"",""1-12每月!$G9"")"),5770.0)</f>
        <v>5770</v>
      </c>
      <c r="V9" s="83">
        <f>IFERROR(__xludf.DUMMYFUNCTION("IMPORTRANGE(""https://docs.google.com/spreadsheets/d/1_eyuyKbXFCJd6fVFEKQwugwYCbRCmmWN_M7XR1dtOb8/edit#gid=951918895?usp=sharing"",""1-12每月!$G9"")"),29324.0)</f>
        <v>29324</v>
      </c>
      <c r="W9" s="83">
        <f>IFERROR(__xludf.DUMMYFUNCTION("IMPORTRANGE(""https://docs.google.com/spreadsheets/d/1yEpHI9_Y4w8sRmPP9C-mYK4NMfVuTJifGLMj4FMdqek/edit#gid=799087919?usp=sharing"",""1-12每月!$G9"")"),23786.0)</f>
        <v>23786</v>
      </c>
      <c r="X9" s="83">
        <f>IFERROR(__xludf.DUMMYFUNCTION("IMPORTRANGE(""https://docs.google.com/spreadsheets/d/1Vbyb9GlrY6jOwvoGyZFB96f7WXYjkT6gvTE37DPDXDI/edit#gid=9591526?usp=sharing"",""1-12每月!$G9"")"),20194.0)</f>
        <v>20194</v>
      </c>
      <c r="Y9" s="83">
        <f>IFERROR(__xludf.DUMMYFUNCTION("IMPORTRANGE(""https://docs.google.com/spreadsheets/d/1qeckoJwzWQAg8zQ80D-QJP4pnVYH6l2juaUyHtOu6y8/edit#gid=1905704096?usp=sharing"",""1-12每月!$G9"")"),23798.0)</f>
        <v>23798</v>
      </c>
      <c r="Z9" s="83">
        <f>IFERROR(__xludf.DUMMYFUNCTION("IMPORTRANGE(""https://docs.google.com/spreadsheets/d/1BcbIi7AD1VDpy_wMQ0YjCG-iuQy0_tkCVqr72a0Pwbg/edit#gid=1099513714?usp=sharing"",""1-12每月!$G9"")"),25745.0)</f>
        <v>25745</v>
      </c>
      <c r="AA9" s="83">
        <f>IFERROR(__xludf.DUMMYFUNCTION("IMPORTRANGE(""https://docs.google.com/spreadsheets/d/1cIFCQPaYiOmIt2O3vkEx5eto8sfRtx3JtAWJ1fv31HI/edit#gid=432689709?usp=sharing"",""1-12每月!$G9"")"),20057.0)</f>
        <v>20057</v>
      </c>
      <c r="AB9" s="83">
        <f>IFERROR(__xludf.DUMMYFUNCTION("IMPORTRANGE(""https://docs.google.com/spreadsheets/d/1C8ECYlbes2CJkHHGOAyOYVfrP7PdlGr8RMjK7KZd0_o/edit#gid=495469277?usp=sharing"",""1-12每月!$G9"")"),24945.0)</f>
        <v>24945</v>
      </c>
      <c r="AC9" s="83">
        <f>IFERROR(__xludf.DUMMYFUNCTION("IMPORTRANGE(""https://docs.google.com/spreadsheets/d/1ettcrhLPK6tkvHZxDTyU2bGIpGSi2ynG91ln0fqz9iE/edit#gid=1364213386?usp=sharing"",""1-12每月!$H9"")"),19695.0)</f>
        <v>19695</v>
      </c>
      <c r="AD9" s="83">
        <f>IFERROR(__xludf.DUMMYFUNCTION("IMPORTRANGE(""https://docs.google.com/spreadsheets/d/1xUhm-MtqzfUO8M5WEWVv9w2EFkv5_PHMOsAlA3CcCWU/edit#gid=1700470961?usp=sharing"",""1-12每月!$H9"")"),21168.0)</f>
        <v>21168</v>
      </c>
      <c r="AE9" s="83">
        <f>IFERROR(__xludf.DUMMYFUNCTION("IMPORTRANGE(""https://docs.google.com/spreadsheets/d/1DP8wl0QQLYSZ8R2aQ8wNmiAUXn7lVrqMsdTccpBmnQc/edit#gid=1145593933?usp=sharing"",""1-12每月!$H9"")"),16308.0)</f>
        <v>16308</v>
      </c>
      <c r="AF9" s="83">
        <f>IFERROR(__xludf.DUMMYFUNCTION("IMPORTRANGE(""https://docs.google.com/spreadsheets/d/17hbKAHrpKLEbG3r9s1Ay3fOGzvOBzSu3Bn_CD4JNLhY/edit#gid=756408948?usp=sharing"",""1-12每月!$H9"")"),13856.0)</f>
        <v>13856</v>
      </c>
      <c r="AG9" s="83">
        <f>IFERROR(__xludf.DUMMYFUNCTION("IMPORTRANGE(""https://docs.google.com/spreadsheets/d/1qeecSCKZ78ENQrsyUYpSNZqvo0-Y-uuGKFA1F06yLEM/edit#gid=874445072?usp=sharing"",""1-12每月!$H9"")"),8273.0)</f>
        <v>8273</v>
      </c>
      <c r="AH9" s="83">
        <f>IFERROR(__xludf.DUMMYFUNCTION("IMPORTRANGE(""https://docs.google.com/spreadsheets/d/1BSX0y1fIKw9-3VTr627UzGVjwKe74kwBkuFnvlaueNo/edit#gid=1113655470"",""1-12每月!$H9"")"),7585.0)</f>
        <v>7585</v>
      </c>
      <c r="AI9" s="83">
        <f>IFERROR(__xludf.DUMMYFUNCTION("IMPORTRANGE(""https://docs.google.com/spreadsheets/d/1bQzlrSGiVqBrfQ6FKnw67vhBELFgthonryGzmQabVFQ/edit#gid=1015697053?usp=sharing"",""1-12每月!$H9"")"),5866.0)</f>
        <v>5866</v>
      </c>
      <c r="AJ9" s="83">
        <f>IFERROR(__xludf.DUMMYFUNCTION("IMPORTRANGE(""https://docs.google.com/spreadsheets/d/1Pem-mgCz4CF6EUKNVxDQx16g9jie0F5YNDQ_cPnMHYs?usp=sharing"",""1-12每月!$H9"")"),9231.0)</f>
        <v>9231</v>
      </c>
      <c r="AK9" s="83">
        <f>IFERROR(__xludf.DUMMYFUNCTION("IMPORTRANGE(""https://docs.google.com/spreadsheets/d/1ZoRtUl0m9T3TpY8H-9-ntNBO_zrYrgNKuAe_XfTeFnU"",""1-12每月!$H9"")"),14857.0)</f>
        <v>14857</v>
      </c>
      <c r="AL9" s="83">
        <f>IFERROR(__xludf.DUMMYFUNCTION("IMPORTRANGE(""https://docs.google.com/spreadsheets/d/1Y9Uv46r1nA3ixCGwTWZqhGQWDt4KVX4iXmhJgHL5CGQ"",""1-12每月!$H9"")"),17828.0)</f>
        <v>17828</v>
      </c>
      <c r="AM9" s="114">
        <f>IFERROR(__xludf.DUMMYFUNCTION("IMPORTRANGE(""https://docs.google.com/spreadsheets/d/1E3X732-CKfouAVQOwKyrePWwI1Bwg9NHD0VD42lyiu4/edit?gid=1513765949#gid=1513765949"",""1-12每月!$H9"")"),19262.0)</f>
        <v>19262</v>
      </c>
      <c r="AN9" s="114"/>
      <c r="AO9" s="114"/>
      <c r="AP9" s="114"/>
      <c r="AQ9" s="114"/>
      <c r="AR9" s="84"/>
    </row>
    <row r="10" ht="15.75" customHeight="1">
      <c r="A10" s="85">
        <v>6.0</v>
      </c>
      <c r="B10" s="83">
        <v>22899.0</v>
      </c>
      <c r="C10" s="83">
        <v>10577.0</v>
      </c>
      <c r="D10" s="83">
        <v>9057.0</v>
      </c>
      <c r="E10" s="83">
        <v>11310.0</v>
      </c>
      <c r="F10" s="83">
        <v>11219.0</v>
      </c>
      <c r="G10" s="83">
        <v>15887.0</v>
      </c>
      <c r="H10" s="83">
        <v>21463.0</v>
      </c>
      <c r="I10" s="83">
        <v>10609.0</v>
      </c>
      <c r="J10" s="83">
        <v>21414.0</v>
      </c>
      <c r="K10" s="83">
        <v>29681.0</v>
      </c>
      <c r="L10" s="83">
        <v>20679.0</v>
      </c>
      <c r="M10" s="83">
        <f>IFERROR(__xludf.DUMMYFUNCTION("IMPORTRANGE(""https://docs.google.com/spreadsheets/d/1dffLfsI-BGVz-K0zdrsWfGaqrFfoLJAhq001merp6Rk/edit?usp=sharing"",""1-12每月!$G10"")"),19628.0)</f>
        <v>19628</v>
      </c>
      <c r="N10" s="83">
        <f>IFERROR(__xludf.DUMMYFUNCTION("IMPORTRANGE(""https://docs.google.com/spreadsheets/d/1SzxpZPUDnwxS8mSOLGEH5NbWU7ZW_VcRmIn7psOvuTs/edit#gid=1650312294?usp=sharing"",""1-12每月!$G10"")"),18528.0)</f>
        <v>18528</v>
      </c>
      <c r="O10" s="83">
        <f>IFERROR(__xludf.DUMMYFUNCTION("IMPORTRANGE(""https://docs.google.com/spreadsheets/d/1ta9i7cAkOPF0LapwmU_YEDA4IPQvKNuaYVMY8vIVPwI/edit#gid=1607741572?usp=sharing"",""1-12每月!$G10"")"),9627.0)</f>
        <v>9627</v>
      </c>
      <c r="P10" s="83">
        <f>IFERROR(__xludf.DUMMYFUNCTION("IMPORTRANGE(""https://docs.google.com/spreadsheets/d/1f4WWQfcNBonYqfzcaBhJlHzPwh34sx4U6naz-Aw2G4I/edit#gid=2097425894?usp=sharing"",""1-12每月!$H10"")"),8180.0)</f>
        <v>8180</v>
      </c>
      <c r="Q10" s="83">
        <f>IFERROR(__xludf.DUMMYFUNCTION("IMPORTRANGE(""https://docs.google.com/spreadsheets/d/1pCmmgCj7Y_SQPZLsiVd3yvND9oLyryVfBwNxC6OUwm8/edit#gid=170549058?usp=sharing"",""1-12每月!$H10"")"),18941.0)</f>
        <v>18941</v>
      </c>
      <c r="R10" s="83">
        <f>IFERROR(__xludf.DUMMYFUNCTION("IMPORTRANGE(""https://docs.google.com/spreadsheets/d/1hrRqxxacrLITR_JGMRVbhSRCIZIU8gAv0o_aOkHz68M/edit#gid=763155734?usp=sharing"",""1-12每月!$H10"")"),10284.0)</f>
        <v>10284</v>
      </c>
      <c r="S10" s="83">
        <f>IFERROR(__xludf.DUMMYFUNCTION("IMPORTRANGE(""https://docs.google.com/spreadsheets/d/1AKS3XWcgwNLFRbGU-lJ3UBHDQNdglvKwrv4_Bpp1IjU/edit#gid=73116376?usp=sharing"",""1-12每月!$G10"")"),9262.0)</f>
        <v>9262</v>
      </c>
      <c r="T10" s="83">
        <f>IFERROR(__xludf.DUMMYFUNCTION("IMPORTRANGE(""https://docs.google.com/spreadsheets/d/1wGGXGHkWT5JsjUDTy4FnHN_O9ae4MADbMykqIWVThNc/edit#gid=297806252?usp=sharing"",""1-12每月!$G10"")"),11403.0)</f>
        <v>11403</v>
      </c>
      <c r="U10" s="83">
        <f>IFERROR(__xludf.DUMMYFUNCTION("IMPORTRANGE(""https://docs.google.com/spreadsheets/d/1ShTgtQQDjMKpYx-TJ_lwdxnWSzJNUcNnzR3fJjoaZec/edit#gid=66107904?usp=sharing"",""1-12每月!$G10"")"),13701.0)</f>
        <v>13701</v>
      </c>
      <c r="V10" s="83">
        <f>IFERROR(__xludf.DUMMYFUNCTION("IMPORTRANGE(""https://docs.google.com/spreadsheets/d/1_eyuyKbXFCJd6fVFEKQwugwYCbRCmmWN_M7XR1dtOb8/edit#gid=951918895?usp=sharing"",""1-12每月!$G10"")"),16738.0)</f>
        <v>16738</v>
      </c>
      <c r="W10" s="83">
        <f>IFERROR(__xludf.DUMMYFUNCTION("IMPORTRANGE(""https://docs.google.com/spreadsheets/d/1yEpHI9_Y4w8sRmPP9C-mYK4NMfVuTJifGLMj4FMdqek/edit#gid=799087919?usp=sharing"",""1-12每月!$G10"")"),22745.0)</f>
        <v>22745</v>
      </c>
      <c r="X10" s="83">
        <f>IFERROR(__xludf.DUMMYFUNCTION("IMPORTRANGE(""https://docs.google.com/spreadsheets/d/1Vbyb9GlrY6jOwvoGyZFB96f7WXYjkT6gvTE37DPDXDI/edit#gid=9591526?usp=sharing"",""1-12每月!$G10"")"),37183.0)</f>
        <v>37183</v>
      </c>
      <c r="Y10" s="83">
        <f>IFERROR(__xludf.DUMMYFUNCTION("IMPORTRANGE(""https://docs.google.com/spreadsheets/d/1qeckoJwzWQAg8zQ80D-QJP4pnVYH6l2juaUyHtOu6y8/edit#gid=1905704096?usp=sharing"",""1-12每月!$G10"")"),23691.0)</f>
        <v>23691</v>
      </c>
      <c r="Z10" s="83">
        <f>IFERROR(__xludf.DUMMYFUNCTION("IMPORTRANGE(""https://docs.google.com/spreadsheets/d/1BcbIi7AD1VDpy_wMQ0YjCG-iuQy0_tkCVqr72a0Pwbg/edit#gid=1099513714?usp=sharing"",""1-12每月!$G10"")"),29345.0)</f>
        <v>29345</v>
      </c>
      <c r="AA10" s="83">
        <f>IFERROR(__xludf.DUMMYFUNCTION("IMPORTRANGE(""https://docs.google.com/spreadsheets/d/1cIFCQPaYiOmIt2O3vkEx5eto8sfRtx3JtAWJ1fv31HI/edit#gid=432689709?usp=sharing"",""1-12每月!$G10"")"),25356.0)</f>
        <v>25356</v>
      </c>
      <c r="AB10" s="83">
        <f>IFERROR(__xludf.DUMMYFUNCTION("IMPORTRANGE(""https://docs.google.com/spreadsheets/d/1C8ECYlbes2CJkHHGOAyOYVfrP7PdlGr8RMjK7KZd0_o/edit#gid=495469277?usp=sharing"",""1-12每月!$G10"")"),23771.0)</f>
        <v>23771</v>
      </c>
      <c r="AC10" s="83">
        <f>IFERROR(__xludf.DUMMYFUNCTION("IMPORTRANGE(""https://docs.google.com/spreadsheets/d/1ettcrhLPK6tkvHZxDTyU2bGIpGSi2ynG91ln0fqz9iE/edit#gid=1364213386?usp=sharing"",""1-12每月!$H10"")"),28442.0)</f>
        <v>28442</v>
      </c>
      <c r="AD10" s="83">
        <f>IFERROR(__xludf.DUMMYFUNCTION("IMPORTRANGE(""https://docs.google.com/spreadsheets/d/1xUhm-MtqzfUO8M5WEWVv9w2EFkv5_PHMOsAlA3CcCWU/edit#gid=1700470961?usp=sharing"",""1-12每月!$H10"")"),14535.0)</f>
        <v>14535</v>
      </c>
      <c r="AE10" s="83">
        <f>IFERROR(__xludf.DUMMYFUNCTION("IMPORTRANGE(""https://docs.google.com/spreadsheets/d/1DP8wl0QQLYSZ8R2aQ8wNmiAUXn7lVrqMsdTccpBmnQc/edit#gid=1145593933?usp=sharing"",""1-12每月!$H10"")"),19395.4)</f>
        <v>19395.4</v>
      </c>
      <c r="AF10" s="83">
        <f>IFERROR(__xludf.DUMMYFUNCTION("IMPORTRANGE(""https://docs.google.com/spreadsheets/d/17hbKAHrpKLEbG3r9s1Ay3fOGzvOBzSu3Bn_CD4JNLhY/edit#gid=756408948?usp=sharing"",""1-12每月!$H10"")"),18729.0)</f>
        <v>18729</v>
      </c>
      <c r="AG10" s="83">
        <f>IFERROR(__xludf.DUMMYFUNCTION("IMPORTRANGE(""https://docs.google.com/spreadsheets/d/1qeecSCKZ78ENQrsyUYpSNZqvo0-Y-uuGKFA1F06yLEM/edit#gid=874445072?usp=sharing"",""1-12每月!$H10"")"),19395.0)</f>
        <v>19395</v>
      </c>
      <c r="AH10" s="83">
        <f>IFERROR(__xludf.DUMMYFUNCTION("IMPORTRANGE(""https://docs.google.com/spreadsheets/d/1BSX0y1fIKw9-3VTr627UzGVjwKe74kwBkuFnvlaueNo/edit#gid=1113655470"",""1-12每月!$H10"")"),0.0)</f>
        <v>0</v>
      </c>
      <c r="AI10" s="83">
        <f>IFERROR(__xludf.DUMMYFUNCTION("IMPORTRANGE(""https://docs.google.com/spreadsheets/d/1bQzlrSGiVqBrfQ6FKnw67vhBELFgthonryGzmQabVFQ/edit#gid=1015697053?usp=sharing"",""1-12每月!$H10"")"),12363.0)</f>
        <v>12363</v>
      </c>
      <c r="AJ10" s="83">
        <f>IFERROR(__xludf.DUMMYFUNCTION("IMPORTRANGE(""https://docs.google.com/spreadsheets/d/1Pem-mgCz4CF6EUKNVxDQx16g9jie0F5YNDQ_cPnMHYs?usp=sharing"",""1-12每月!$H10"")"),16730.0)</f>
        <v>16730</v>
      </c>
      <c r="AK10" s="83">
        <f>IFERROR(__xludf.DUMMYFUNCTION("IMPORTRANGE(""https://docs.google.com/spreadsheets/d/1ZoRtUl0m9T3TpY8H-9-ntNBO_zrYrgNKuAe_XfTeFnU"",""1-12每月!$H10"")"),18244.0)</f>
        <v>18244</v>
      </c>
      <c r="AL10" s="83">
        <f>IFERROR(__xludf.DUMMYFUNCTION("IMPORTRANGE(""https://docs.google.com/spreadsheets/d/1Y9Uv46r1nA3ixCGwTWZqhGQWDt4KVX4iXmhJgHL5CGQ"",""1-12每月!$H10"")"),19950.0)</f>
        <v>19950</v>
      </c>
      <c r="AM10" s="114">
        <f>IFERROR(__xludf.DUMMYFUNCTION("IMPORTRANGE(""https://docs.google.com/spreadsheets/d/1E3X732-CKfouAVQOwKyrePWwI1Bwg9NHD0VD42lyiu4/edit?gid=1513765949#gid=1513765949"",""1-12每月!$H10"")"),19666.0)</f>
        <v>19666</v>
      </c>
      <c r="AN10" s="115"/>
      <c r="AO10" s="115"/>
      <c r="AP10" s="115"/>
      <c r="AQ10" s="115"/>
      <c r="AR10" s="108"/>
    </row>
    <row r="11" ht="15.75" customHeight="1">
      <c r="A11" s="85">
        <v>7.0</v>
      </c>
      <c r="B11" s="83">
        <v>20029.0</v>
      </c>
      <c r="C11" s="83">
        <v>26037.0</v>
      </c>
      <c r="D11" s="83">
        <v>18373.0</v>
      </c>
      <c r="E11" s="83">
        <v>24072.0</v>
      </c>
      <c r="F11" s="83">
        <v>19422.0</v>
      </c>
      <c r="G11" s="83">
        <v>19485.0</v>
      </c>
      <c r="H11" s="83">
        <v>14201.0</v>
      </c>
      <c r="I11" s="83">
        <v>21955.0</v>
      </c>
      <c r="J11" s="83">
        <v>23866.0</v>
      </c>
      <c r="K11" s="83">
        <v>30268.0</v>
      </c>
      <c r="L11" s="83">
        <v>29350.0</v>
      </c>
      <c r="M11" s="83">
        <f>IFERROR(__xludf.DUMMYFUNCTION("IMPORTRANGE(""https://docs.google.com/spreadsheets/d/1dffLfsI-BGVz-K0zdrsWfGaqrFfoLJAhq001merp6Rk/edit?usp=sharing"",""1-12每月!$G11"")"),25876.0)</f>
        <v>25876</v>
      </c>
      <c r="N11" s="83">
        <f>IFERROR(__xludf.DUMMYFUNCTION("IMPORTRANGE(""https://docs.google.com/spreadsheets/d/1SzxpZPUDnwxS8mSOLGEH5NbWU7ZW_VcRmIn7psOvuTs/edit#gid=1650312294?usp=sharing"",""1-12每月!$G11"")"),27563.0)</f>
        <v>27563</v>
      </c>
      <c r="O11" s="83">
        <f>IFERROR(__xludf.DUMMYFUNCTION("IMPORTRANGE(""https://docs.google.com/spreadsheets/d/1ta9i7cAkOPF0LapwmU_YEDA4IPQvKNuaYVMY8vIVPwI/edit#gid=1607741572?usp=sharing"",""1-12每月!$G11"")"),23932.0)</f>
        <v>23932</v>
      </c>
      <c r="P11" s="83">
        <f>IFERROR(__xludf.DUMMYFUNCTION("IMPORTRANGE(""https://docs.google.com/spreadsheets/d/1f4WWQfcNBonYqfzcaBhJlHzPwh34sx4U6naz-Aw2G4I/edit#gid=2097425894?usp=sharing"",""1-12每月!$H11"")"),27836.0)</f>
        <v>27836</v>
      </c>
      <c r="Q11" s="83">
        <f>IFERROR(__xludf.DUMMYFUNCTION("IMPORTRANGE(""https://docs.google.com/spreadsheets/d/1pCmmgCj7Y_SQPZLsiVd3yvND9oLyryVfBwNxC6OUwm8/edit#gid=170549058?usp=sharing"",""1-12每月!$H11"")"),21984.0)</f>
        <v>21984</v>
      </c>
      <c r="R11" s="83">
        <f>IFERROR(__xludf.DUMMYFUNCTION("IMPORTRANGE(""https://docs.google.com/spreadsheets/d/1hrRqxxacrLITR_JGMRVbhSRCIZIU8gAv0o_aOkHz68M/edit#gid=763155734?usp=sharing"",""1-12每月!$H11"")"),20708.0)</f>
        <v>20708</v>
      </c>
      <c r="S11" s="83">
        <f>IFERROR(__xludf.DUMMYFUNCTION("IMPORTRANGE(""https://docs.google.com/spreadsheets/d/1AKS3XWcgwNLFRbGU-lJ3UBHDQNdglvKwrv4_Bpp1IjU/edit#gid=73116376?usp=sharing"",""1-12每月!$G11"")"),25632.0)</f>
        <v>25632</v>
      </c>
      <c r="T11" s="83">
        <f>IFERROR(__xludf.DUMMYFUNCTION("IMPORTRANGE(""https://docs.google.com/spreadsheets/d/1wGGXGHkWT5JsjUDTy4FnHN_O9ae4MADbMykqIWVThNc/edit#gid=297806252?usp=sharing"",""1-12每月!$G11"")"),22752.0)</f>
        <v>22752</v>
      </c>
      <c r="U11" s="83">
        <f>IFERROR(__xludf.DUMMYFUNCTION("IMPORTRANGE(""https://docs.google.com/spreadsheets/d/1ShTgtQQDjMKpYx-TJ_lwdxnWSzJNUcNnzR3fJjoaZec/edit#gid=66107904?usp=sharing"",""1-12每月!$G11"")"),24392.0)</f>
        <v>24392</v>
      </c>
      <c r="V11" s="83">
        <f>IFERROR(__xludf.DUMMYFUNCTION("IMPORTRANGE(""https://docs.google.com/spreadsheets/d/1_eyuyKbXFCJd6fVFEKQwugwYCbRCmmWN_M7XR1dtOb8/edit#gid=951918895?usp=sharing"",""1-12每月!$G11"")"),15057.0)</f>
        <v>15057</v>
      </c>
      <c r="W11" s="83">
        <f>IFERROR(__xludf.DUMMYFUNCTION("IMPORTRANGE(""https://docs.google.com/spreadsheets/d/1yEpHI9_Y4w8sRmPP9C-mYK4NMfVuTJifGLMj4FMdqek/edit#gid=799087919?usp=sharing"",""1-12每月!$G11"")"),23077.0)</f>
        <v>23077</v>
      </c>
      <c r="X11" s="83">
        <f>IFERROR(__xludf.DUMMYFUNCTION("IMPORTRANGE(""https://docs.google.com/spreadsheets/d/1Vbyb9GlrY6jOwvoGyZFB96f7WXYjkT6gvTE37DPDXDI/edit#gid=9591526?usp=sharing"",""1-12每月!$G11"")"),33420.0)</f>
        <v>33420</v>
      </c>
      <c r="Y11" s="83">
        <f>IFERROR(__xludf.DUMMYFUNCTION("IMPORTRANGE(""https://docs.google.com/spreadsheets/d/1qeckoJwzWQAg8zQ80D-QJP4pnVYH6l2juaUyHtOu6y8/edit#gid=1905704096?usp=sharing"",""1-12每月!$G11"")"),46473.0)</f>
        <v>46473</v>
      </c>
      <c r="Z11" s="83">
        <f>IFERROR(__xludf.DUMMYFUNCTION("IMPORTRANGE(""https://docs.google.com/spreadsheets/d/1BcbIi7AD1VDpy_wMQ0YjCG-iuQy0_tkCVqr72a0Pwbg/edit#gid=1099513714?usp=sharing"",""1-12每月!$G11"")"),43846.0)</f>
        <v>43846</v>
      </c>
      <c r="AA11" s="83">
        <f>IFERROR(__xludf.DUMMYFUNCTION("IMPORTRANGE(""https://docs.google.com/spreadsheets/d/1cIFCQPaYiOmIt2O3vkEx5eto8sfRtx3JtAWJ1fv31HI/edit#gid=432689709?usp=sharing"",""1-12每月!$G11"")"),39040.0)</f>
        <v>39040</v>
      </c>
      <c r="AB11" s="83">
        <f>IFERROR(__xludf.DUMMYFUNCTION("IMPORTRANGE(""https://docs.google.com/spreadsheets/d/1C8ECYlbes2CJkHHGOAyOYVfrP7PdlGr8RMjK7KZd0_o/edit#gid=495469277?usp=sharing"",""1-12每月!$G11"")"),43269.0)</f>
        <v>43269</v>
      </c>
      <c r="AC11" s="83">
        <f>IFERROR(__xludf.DUMMYFUNCTION("IMPORTRANGE(""https://docs.google.com/spreadsheets/d/1ettcrhLPK6tkvHZxDTyU2bGIpGSi2ynG91ln0fqz9iE/edit#gid=1364213386?usp=sharing"",""1-12每月!$H11"")"),32141.0)</f>
        <v>32141</v>
      </c>
      <c r="AD11" s="83">
        <f>IFERROR(__xludf.DUMMYFUNCTION("IMPORTRANGE(""https://docs.google.com/spreadsheets/d/1xUhm-MtqzfUO8M5WEWVv9w2EFkv5_PHMOsAlA3CcCWU/edit#gid=1700470961?usp=sharing"",""1-12每月!$H11"")"),25955.0)</f>
        <v>25955</v>
      </c>
      <c r="AE11" s="83">
        <f>IFERROR(__xludf.DUMMYFUNCTION("IMPORTRANGE(""https://docs.google.com/spreadsheets/d/1DP8wl0QQLYSZ8R2aQ8wNmiAUXn7lVrqMsdTccpBmnQc/edit#gid=1145593933?usp=sharing"",""1-12每月!$H11"")"),26969.0)</f>
        <v>26969</v>
      </c>
      <c r="AF11" s="83">
        <f>IFERROR(__xludf.DUMMYFUNCTION("IMPORTRANGE(""https://docs.google.com/spreadsheets/d/17hbKAHrpKLEbG3r9s1Ay3fOGzvOBzSu3Bn_CD4JNLhY/edit#gid=756408948?usp=sharing"",""1-12每月!$H11"")"),24300.0)</f>
        <v>24300</v>
      </c>
      <c r="AG11" s="83">
        <f>IFERROR(__xludf.DUMMYFUNCTION("IMPORTRANGE(""https://docs.google.com/spreadsheets/d/1qeecSCKZ78ENQrsyUYpSNZqvo0-Y-uuGKFA1F06yLEM/edit#gid=874445072?usp=sharing"",""1-12每月!$H11"")"),37666.0)</f>
        <v>37666</v>
      </c>
      <c r="AH11" s="83">
        <f>IFERROR(__xludf.DUMMYFUNCTION("IMPORTRANGE(""https://docs.google.com/spreadsheets/d/1BSX0y1fIKw9-3VTr627UzGVjwKe74kwBkuFnvlaueNo/edit#gid=1113655470"",""1-12每月!$H11"")"),173.0)</f>
        <v>173</v>
      </c>
      <c r="AI11" s="83">
        <f>IFERROR(__xludf.DUMMYFUNCTION("IMPORTRANGE(""https://docs.google.com/spreadsheets/d/1bQzlrSGiVqBrfQ6FKnw67vhBELFgthonryGzmQabVFQ/edit#gid=1015697053?usp=sharing"",""1-12每月!$H11"")"),27361.0)</f>
        <v>27361</v>
      </c>
      <c r="AJ11" s="83">
        <f>IFERROR(__xludf.DUMMYFUNCTION("IMPORTRANGE(""https://docs.google.com/spreadsheets/d/1Pem-mgCz4CF6EUKNVxDQx16g9jie0F5YNDQ_cPnMHYs?usp=sharing"",""1-12每月!$H11"")"),18161.0)</f>
        <v>18161</v>
      </c>
      <c r="AK11" s="83">
        <f>IFERROR(__xludf.DUMMYFUNCTION("IMPORTRANGE(""https://docs.google.com/spreadsheets/d/1ZoRtUl0m9T3TpY8H-9-ntNBO_zrYrgNKuAe_XfTeFnU"",""1-12每月!$H11"")"),18100.0)</f>
        <v>18100</v>
      </c>
      <c r="AL11" s="83">
        <f>IFERROR(__xludf.DUMMYFUNCTION("IMPORTRANGE(""https://docs.google.com/spreadsheets/d/1Y9Uv46r1nA3ixCGwTWZqhGQWDt4KVX4iXmhJgHL5CGQ"",""1-12每月!$H11"")"),21950.0)</f>
        <v>21950</v>
      </c>
      <c r="AM11" s="114">
        <f>IFERROR(__xludf.DUMMYFUNCTION("IMPORTRANGE(""https://docs.google.com/spreadsheets/d/1E3X732-CKfouAVQOwKyrePWwI1Bwg9NHD0VD42lyiu4/edit?gid=1513765949#gid=1513765949"",""1-12每月!$H11"")"),0.0)</f>
        <v>0</v>
      </c>
      <c r="AN11" s="115"/>
      <c r="AO11" s="115"/>
      <c r="AP11" s="115"/>
      <c r="AQ11" s="115"/>
      <c r="AR11" s="108"/>
    </row>
    <row r="12" ht="15.75" customHeight="1">
      <c r="A12" s="85">
        <v>8.0</v>
      </c>
      <c r="B12" s="83">
        <v>15971.0</v>
      </c>
      <c r="C12" s="83">
        <v>21669.0</v>
      </c>
      <c r="D12" s="83">
        <v>13478.0</v>
      </c>
      <c r="E12" s="83">
        <v>8108.0</v>
      </c>
      <c r="F12" s="83">
        <v>17276.0</v>
      </c>
      <c r="G12" s="83">
        <v>4225.0</v>
      </c>
      <c r="H12" s="83">
        <v>6788.0</v>
      </c>
      <c r="I12" s="83">
        <v>8188.0</v>
      </c>
      <c r="J12" s="83">
        <v>8812.0</v>
      </c>
      <c r="K12" s="83">
        <v>25822.0</v>
      </c>
      <c r="L12" s="83">
        <v>15645.0</v>
      </c>
      <c r="M12" s="83">
        <f>IFERROR(__xludf.DUMMYFUNCTION("IMPORTRANGE(""https://docs.google.com/spreadsheets/d/1dffLfsI-BGVz-K0zdrsWfGaqrFfoLJAhq001merp6Rk/edit?usp=sharing"",""1-12每月!$G12"")"),9079.0)</f>
        <v>9079</v>
      </c>
      <c r="N12" s="83">
        <f>IFERROR(__xludf.DUMMYFUNCTION("IMPORTRANGE(""https://docs.google.com/spreadsheets/d/1SzxpZPUDnwxS8mSOLGEH5NbWU7ZW_VcRmIn7psOvuTs/edit#gid=1650312294?usp=sharing"",""1-12每月!$G12"")"),17521.0)</f>
        <v>17521</v>
      </c>
      <c r="O12" s="83">
        <f>IFERROR(__xludf.DUMMYFUNCTION("IMPORTRANGE(""https://docs.google.com/spreadsheets/d/1ta9i7cAkOPF0LapwmU_YEDA4IPQvKNuaYVMY8vIVPwI/edit#gid=1607741572?usp=sharing"",""1-12每月!$G12"")"),22206.0)</f>
        <v>22206</v>
      </c>
      <c r="P12" s="83">
        <f>IFERROR(__xludf.DUMMYFUNCTION("IMPORTRANGE(""https://docs.google.com/spreadsheets/d/1f4WWQfcNBonYqfzcaBhJlHzPwh34sx4U6naz-Aw2G4I/edit#gid=2097425894?usp=sharing"",""1-12每月!$H12"")"),19557.0)</f>
        <v>19557</v>
      </c>
      <c r="Q12" s="83">
        <f>IFERROR(__xludf.DUMMYFUNCTION("IMPORTRANGE(""https://docs.google.com/spreadsheets/d/1pCmmgCj7Y_SQPZLsiVd3yvND9oLyryVfBwNxC6OUwm8/edit#gid=170549058?usp=sharing"",""1-12每月!$H12"")"),30163.0)</f>
        <v>30163</v>
      </c>
      <c r="R12" s="83">
        <f>IFERROR(__xludf.DUMMYFUNCTION("IMPORTRANGE(""https://docs.google.com/spreadsheets/d/1hrRqxxacrLITR_JGMRVbhSRCIZIU8gAv0o_aOkHz68M/edit#gid=763155734?usp=sharing"",""1-12每月!$H12"")"),7518.0)</f>
        <v>7518</v>
      </c>
      <c r="S12" s="83">
        <f>IFERROR(__xludf.DUMMYFUNCTION("IMPORTRANGE(""https://docs.google.com/spreadsheets/d/1AKS3XWcgwNLFRbGU-lJ3UBHDQNdglvKwrv4_Bpp1IjU/edit#gid=73116376?usp=sharing"",""1-12每月!$G12"")"),17315.0)</f>
        <v>17315</v>
      </c>
      <c r="T12" s="83">
        <f>IFERROR(__xludf.DUMMYFUNCTION("IMPORTRANGE(""https://docs.google.com/spreadsheets/d/1wGGXGHkWT5JsjUDTy4FnHN_O9ae4MADbMykqIWVThNc/edit#gid=297806252?usp=sharing"",""1-12每月!$G12"")"),11093.0)</f>
        <v>11093</v>
      </c>
      <c r="U12" s="83">
        <f>IFERROR(__xludf.DUMMYFUNCTION("IMPORTRANGE(""https://docs.google.com/spreadsheets/d/1ShTgtQQDjMKpYx-TJ_lwdxnWSzJNUcNnzR3fJjoaZec/edit#gid=66107904?usp=sharing"",""1-12每月!$G12"")"),20242.0)</f>
        <v>20242</v>
      </c>
      <c r="V12" s="83">
        <f>IFERROR(__xludf.DUMMYFUNCTION("IMPORTRANGE(""https://docs.google.com/spreadsheets/d/1_eyuyKbXFCJd6fVFEKQwugwYCbRCmmWN_M7XR1dtOb8/edit#gid=951918895?usp=sharing"",""1-12每月!$G12"")"),12040.0)</f>
        <v>12040</v>
      </c>
      <c r="W12" s="83">
        <f>IFERROR(__xludf.DUMMYFUNCTION("IMPORTRANGE(""https://docs.google.com/spreadsheets/d/1yEpHI9_Y4w8sRmPP9C-mYK4NMfVuTJifGLMj4FMdqek/edit#gid=799087919?usp=sharing"",""1-12每月!$G12"")"),24669.0)</f>
        <v>24669</v>
      </c>
      <c r="X12" s="83">
        <f>IFERROR(__xludf.DUMMYFUNCTION("IMPORTRANGE(""https://docs.google.com/spreadsheets/d/1Vbyb9GlrY6jOwvoGyZFB96f7WXYjkT6gvTE37DPDXDI/edit#gid=9591526?usp=sharing"",""1-12每月!$G12"")"),30547.0)</f>
        <v>30547</v>
      </c>
      <c r="Y12" s="83">
        <f>IFERROR(__xludf.DUMMYFUNCTION("IMPORTRANGE(""https://docs.google.com/spreadsheets/d/1qeckoJwzWQAg8zQ80D-QJP4pnVYH6l2juaUyHtOu6y8/edit#gid=1905704096?usp=sharing"",""1-12每月!$G12"")"),28882.0)</f>
        <v>28882</v>
      </c>
      <c r="Z12" s="83">
        <f>IFERROR(__xludf.DUMMYFUNCTION("IMPORTRANGE(""https://docs.google.com/spreadsheets/d/1BcbIi7AD1VDpy_wMQ0YjCG-iuQy0_tkCVqr72a0Pwbg/edit#gid=1099513714?usp=sharing"",""1-12每月!$G12"")"),32637.0)</f>
        <v>32637</v>
      </c>
      <c r="AA12" s="83">
        <f>IFERROR(__xludf.DUMMYFUNCTION("IMPORTRANGE(""https://docs.google.com/spreadsheets/d/1cIFCQPaYiOmIt2O3vkEx5eto8sfRtx3JtAWJ1fv31HI/edit#gid=432689709?usp=sharing"",""1-12每月!$G12"")"),37967.0)</f>
        <v>37967</v>
      </c>
      <c r="AB12" s="83">
        <f>IFERROR(__xludf.DUMMYFUNCTION("IMPORTRANGE(""https://docs.google.com/spreadsheets/d/1C8ECYlbes2CJkHHGOAyOYVfrP7PdlGr8RMjK7KZd0_o/edit#gid=495469277?usp=sharing"",""1-12每月!$G12"")"),41403.0)</f>
        <v>41403</v>
      </c>
      <c r="AC12" s="83">
        <f>IFERROR(__xludf.DUMMYFUNCTION("IMPORTRANGE(""https://docs.google.com/spreadsheets/d/1ettcrhLPK6tkvHZxDTyU2bGIpGSi2ynG91ln0fqz9iE/edit#gid=1364213386?usp=sharing"",""1-12每月!$H12"")"),27808.0)</f>
        <v>27808</v>
      </c>
      <c r="AD12" s="83">
        <f>IFERROR(__xludf.DUMMYFUNCTION("IMPORTRANGE(""https://docs.google.com/spreadsheets/d/1xUhm-MtqzfUO8M5WEWVv9w2EFkv5_PHMOsAlA3CcCWU/edit#gid=1700470961?usp=sharing"",""1-12每月!$H12"")"),28923.0)</f>
        <v>28923</v>
      </c>
      <c r="AE12" s="83">
        <f>IFERROR(__xludf.DUMMYFUNCTION("IMPORTRANGE(""https://docs.google.com/spreadsheets/d/1DP8wl0QQLYSZ8R2aQ8wNmiAUXn7lVrqMsdTccpBmnQc/edit#gid=1145593933?usp=sharing"",""1-12每月!$H12"")"),25079.0)</f>
        <v>25079</v>
      </c>
      <c r="AF12" s="83">
        <f>IFERROR(__xludf.DUMMYFUNCTION("IMPORTRANGE(""https://docs.google.com/spreadsheets/d/17hbKAHrpKLEbG3r9s1Ay3fOGzvOBzSu3Bn_CD4JNLhY/edit#gid=756408948?usp=sharing"",""1-12每月!$H12"")"),19043.0)</f>
        <v>19043</v>
      </c>
      <c r="AG12" s="83">
        <f>IFERROR(__xludf.DUMMYFUNCTION("IMPORTRANGE(""https://docs.google.com/spreadsheets/d/1qeecSCKZ78ENQrsyUYpSNZqvo0-Y-uuGKFA1F06yLEM/edit#gid=874445072?usp=sharing"",""1-12每月!$H12"")"),43189.0)</f>
        <v>43189</v>
      </c>
      <c r="AH12" s="83">
        <f>IFERROR(__xludf.DUMMYFUNCTION("IMPORTRANGE(""https://docs.google.com/spreadsheets/d/1BSX0y1fIKw9-3VTr627UzGVjwKe74kwBkuFnvlaueNo/edit#gid=1113655470"",""1-12每月!$H12"")"),6603.0)</f>
        <v>6603</v>
      </c>
      <c r="AI12" s="83">
        <f>IFERROR(__xludf.DUMMYFUNCTION("IMPORTRANGE(""https://docs.google.com/spreadsheets/d/1bQzlrSGiVqBrfQ6FKnw67vhBELFgthonryGzmQabVFQ/edit#gid=1015697053?usp=sharing"",""1-12每月!$H12"")"),26091.0)</f>
        <v>26091</v>
      </c>
      <c r="AJ12" s="83">
        <f>IFERROR(__xludf.DUMMYFUNCTION("IMPORTRANGE(""https://docs.google.com/spreadsheets/d/1Pem-mgCz4CF6EUKNVxDQx16g9jie0F5YNDQ_cPnMHYs?usp=sharing"",""1-12每月!$H12"")"),19483.0)</f>
        <v>19483</v>
      </c>
      <c r="AK12" s="83">
        <f>IFERROR(__xludf.DUMMYFUNCTION("IMPORTRANGE(""https://docs.google.com/spreadsheets/d/1ZoRtUl0m9T3TpY8H-9-ntNBO_zrYrgNKuAe_XfTeFnU"",""1-12每月!$H12"")"),23150.0)</f>
        <v>23150</v>
      </c>
      <c r="AL12" s="83">
        <f>IFERROR(__xludf.DUMMYFUNCTION("IMPORTRANGE(""https://docs.google.com/spreadsheets/d/1Y9Uv46r1nA3ixCGwTWZqhGQWDt4KVX4iXmhJgHL5CGQ"",""1-12每月!$H12"")"),29185.0)</f>
        <v>29185</v>
      </c>
      <c r="AM12" s="114">
        <f>IFERROR(__xludf.DUMMYFUNCTION("IMPORTRANGE(""https://docs.google.com/spreadsheets/d/1E3X732-CKfouAVQOwKyrePWwI1Bwg9NHD0VD42lyiu4/edit?gid=1513765949#gid=1513765949"",""1-12每月!$H12"")"),0.0)</f>
        <v>0</v>
      </c>
      <c r="AN12" s="115"/>
      <c r="AO12" s="115"/>
      <c r="AP12" s="115"/>
      <c r="AQ12" s="115"/>
      <c r="AR12" s="108"/>
    </row>
    <row r="13" ht="15.75" customHeight="1">
      <c r="A13" s="85">
        <v>9.0</v>
      </c>
      <c r="B13" s="83">
        <v>12158.0</v>
      </c>
      <c r="C13" s="83">
        <v>3461.0</v>
      </c>
      <c r="D13" s="83">
        <v>8033.0</v>
      </c>
      <c r="E13" s="83">
        <v>7613.0</v>
      </c>
      <c r="F13" s="83">
        <v>4456.0</v>
      </c>
      <c r="G13" s="83">
        <v>6512.0</v>
      </c>
      <c r="H13" s="83">
        <v>7388.0</v>
      </c>
      <c r="I13" s="83">
        <v>9102.0</v>
      </c>
      <c r="J13" s="83">
        <v>15457.0</v>
      </c>
      <c r="K13" s="83">
        <v>8585.0</v>
      </c>
      <c r="L13" s="83">
        <v>12654.0</v>
      </c>
      <c r="M13" s="83">
        <f>IFERROR(__xludf.DUMMYFUNCTION("IMPORTRANGE(""https://docs.google.com/spreadsheets/d/1dffLfsI-BGVz-K0zdrsWfGaqrFfoLJAhq001merp6Rk/edit?usp=sharing"",""1-12每月!$G13"")"),12787.0)</f>
        <v>12787</v>
      </c>
      <c r="N13" s="83">
        <f>IFERROR(__xludf.DUMMYFUNCTION("IMPORTRANGE(""https://docs.google.com/spreadsheets/d/1SzxpZPUDnwxS8mSOLGEH5NbWU7ZW_VcRmIn7psOvuTs/edit#gid=1650312294?usp=sharing"",""1-12每月!$G13"")"),5440.0)</f>
        <v>5440</v>
      </c>
      <c r="O13" s="83">
        <f>IFERROR(__xludf.DUMMYFUNCTION("IMPORTRANGE(""https://docs.google.com/spreadsheets/d/1ta9i7cAkOPF0LapwmU_YEDA4IPQvKNuaYVMY8vIVPwI/edit#gid=1607741572?usp=sharing"",""1-12每月!$G13"")"),11593.0)</f>
        <v>11593</v>
      </c>
      <c r="P13" s="83">
        <f>IFERROR(__xludf.DUMMYFUNCTION("IMPORTRANGE(""https://docs.google.com/spreadsheets/d/1f4WWQfcNBonYqfzcaBhJlHzPwh34sx4U6naz-Aw2G4I/edit#gid=2097425894?usp=sharing"",""1-12每月!$H13"")"),13916.0)</f>
        <v>13916</v>
      </c>
      <c r="Q13" s="83">
        <f>IFERROR(__xludf.DUMMYFUNCTION("IMPORTRANGE(""https://docs.google.com/spreadsheets/d/1pCmmgCj7Y_SQPZLsiVd3yvND9oLyryVfBwNxC6OUwm8/edit#gid=170549058?usp=sharing"",""1-12每月!$H13"")"),8010.0)</f>
        <v>8010</v>
      </c>
      <c r="R13" s="83">
        <f>IFERROR(__xludf.DUMMYFUNCTION("IMPORTRANGE(""https://docs.google.com/spreadsheets/d/1hrRqxxacrLITR_JGMRVbhSRCIZIU8gAv0o_aOkHz68M/edit#gid=763155734?usp=sharing"",""1-12每月!$H13"")"),12781.0)</f>
        <v>12781</v>
      </c>
      <c r="S13" s="83">
        <f>IFERROR(__xludf.DUMMYFUNCTION("IMPORTRANGE(""https://docs.google.com/spreadsheets/d/1AKS3XWcgwNLFRbGU-lJ3UBHDQNdglvKwrv4_Bpp1IjU/edit#gid=73116376?usp=sharing"",""1-12每月!$G13"")"),19953.0)</f>
        <v>19953</v>
      </c>
      <c r="T13" s="83">
        <f>IFERROR(__xludf.DUMMYFUNCTION("IMPORTRANGE(""https://docs.google.com/spreadsheets/d/1wGGXGHkWT5JsjUDTy4FnHN_O9ae4MADbMykqIWVThNc/edit#gid=297806252?usp=sharing"",""1-12每月!$G13"")"),8763.0)</f>
        <v>8763</v>
      </c>
      <c r="U13" s="83">
        <f>IFERROR(__xludf.DUMMYFUNCTION("IMPORTRANGE(""https://docs.google.com/spreadsheets/d/1ShTgtQQDjMKpYx-TJ_lwdxnWSzJNUcNnzR3fJjoaZec/edit#gid=66107904?usp=sharing"",""1-12每月!$G13"")"),11897.0)</f>
        <v>11897</v>
      </c>
      <c r="V13" s="83">
        <f>IFERROR(__xludf.DUMMYFUNCTION("IMPORTRANGE(""https://docs.google.com/spreadsheets/d/1_eyuyKbXFCJd6fVFEKQwugwYCbRCmmWN_M7XR1dtOb8/edit#gid=951918895?usp=sharing"",""1-12每月!$G13"")"),14744.0)</f>
        <v>14744</v>
      </c>
      <c r="W13" s="83">
        <f>IFERROR(__xludf.DUMMYFUNCTION("IMPORTRANGE(""https://docs.google.com/spreadsheets/d/1yEpHI9_Y4w8sRmPP9C-mYK4NMfVuTJifGLMj4FMdqek/edit#gid=799087919?usp=sharing"",""1-12每月!$G13"")"),22086.0)</f>
        <v>22086</v>
      </c>
      <c r="X13" s="83">
        <f>IFERROR(__xludf.DUMMYFUNCTION("IMPORTRANGE(""https://docs.google.com/spreadsheets/d/1Vbyb9GlrY6jOwvoGyZFB96f7WXYjkT6gvTE37DPDXDI/edit#gid=9591526?usp=sharing"",""1-12每月!$G13"")"),38707.0)</f>
        <v>38707</v>
      </c>
      <c r="Y13" s="83">
        <f>IFERROR(__xludf.DUMMYFUNCTION("IMPORTRANGE(""https://docs.google.com/spreadsheets/d/1qeckoJwzWQAg8zQ80D-QJP4pnVYH6l2juaUyHtOu6y8/edit#gid=1905704096?usp=sharing"",""1-12每月!$G13"")"),26812.0)</f>
        <v>26812</v>
      </c>
      <c r="Z13" s="83">
        <f>IFERROR(__xludf.DUMMYFUNCTION("IMPORTRANGE(""https://docs.google.com/spreadsheets/d/1BcbIi7AD1VDpy_wMQ0YjCG-iuQy0_tkCVqr72a0Pwbg/edit#gid=1099513714?usp=sharing"",""1-12每月!$G13"")"),15036.0)</f>
        <v>15036</v>
      </c>
      <c r="AA13" s="83">
        <f>IFERROR(__xludf.DUMMYFUNCTION("IMPORTRANGE(""https://docs.google.com/spreadsheets/d/1cIFCQPaYiOmIt2O3vkEx5eto8sfRtx3JtAWJ1fv31HI/edit#gid=432689709?usp=sharing"",""1-12每月!$G13"")"),23529.0)</f>
        <v>23529</v>
      </c>
      <c r="AB13" s="83">
        <f>IFERROR(__xludf.DUMMYFUNCTION("IMPORTRANGE(""https://docs.google.com/spreadsheets/d/1C8ECYlbes2CJkHHGOAyOYVfrP7PdlGr8RMjK7KZd0_o/edit#gid=495469277?usp=sharing"",""1-12每月!$G13"")"),39829.0)</f>
        <v>39829</v>
      </c>
      <c r="AC13" s="83">
        <f>IFERROR(__xludf.DUMMYFUNCTION("IMPORTRANGE(""https://docs.google.com/spreadsheets/d/1ettcrhLPK6tkvHZxDTyU2bGIpGSi2ynG91ln0fqz9iE/edit#gid=1364213386?usp=sharing"",""1-12每月!$H13"")"),17610.0)</f>
        <v>17610</v>
      </c>
      <c r="AD13" s="83">
        <f>IFERROR(__xludf.DUMMYFUNCTION("IMPORTRANGE(""https://docs.google.com/spreadsheets/d/1xUhm-MtqzfUO8M5WEWVv9w2EFkv5_PHMOsAlA3CcCWU/edit#gid=1700470961?usp=sharing"",""1-12每月!$H13"")"),16600.0)</f>
        <v>16600</v>
      </c>
      <c r="AE13" s="83">
        <f>IFERROR(__xludf.DUMMYFUNCTION("IMPORTRANGE(""https://docs.google.com/spreadsheets/d/1DP8wl0QQLYSZ8R2aQ8wNmiAUXn7lVrqMsdTccpBmnQc/edit#gid=1145593933?usp=sharing"",""1-12每月!$H13"")"),17969.0)</f>
        <v>17969</v>
      </c>
      <c r="AF13" s="83">
        <f>IFERROR(__xludf.DUMMYFUNCTION("IMPORTRANGE(""https://docs.google.com/spreadsheets/d/17hbKAHrpKLEbG3r9s1Ay3fOGzvOBzSu3Bn_CD4JNLhY/edit#gid=756408948?usp=sharing"",""1-12每月!$H13"")"),19355.0)</f>
        <v>19355</v>
      </c>
      <c r="AG13" s="83">
        <f>IFERROR(__xludf.DUMMYFUNCTION("IMPORTRANGE(""https://docs.google.com/spreadsheets/d/1qeecSCKZ78ENQrsyUYpSNZqvo0-Y-uuGKFA1F06yLEM/edit#gid=874445072?usp=sharing"",""1-12每月!$H13"")"),24635.0)</f>
        <v>24635</v>
      </c>
      <c r="AH13" s="83">
        <f>IFERROR(__xludf.DUMMYFUNCTION("IMPORTRANGE(""https://docs.google.com/spreadsheets/d/1BSX0y1fIKw9-3VTr627UzGVjwKe74kwBkuFnvlaueNo/edit#gid=1113655470"",""1-12每月!$H13"")"),11291.0)</f>
        <v>11291</v>
      </c>
      <c r="AI13" s="83">
        <f>IFERROR(__xludf.DUMMYFUNCTION("IMPORTRANGE(""https://docs.google.com/spreadsheets/d/1bQzlrSGiVqBrfQ6FKnw67vhBELFgthonryGzmQabVFQ/edit#gid=1015697053?usp=sharing"",""1-12每月!$H13"")"),16509.0)</f>
        <v>16509</v>
      </c>
      <c r="AJ13" s="83">
        <f>IFERROR(__xludf.DUMMYFUNCTION("IMPORTRANGE(""https://docs.google.com/spreadsheets/d/1Pem-mgCz4CF6EUKNVxDQx16g9jie0F5YNDQ_cPnMHYs?usp=sharing"",""1-12每月!$H13"")"),11143.0)</f>
        <v>11143</v>
      </c>
      <c r="AK13" s="83">
        <f>IFERROR(__xludf.DUMMYFUNCTION("IMPORTRANGE(""https://docs.google.com/spreadsheets/d/1ZoRtUl0m9T3TpY8H-9-ntNBO_zrYrgNKuAe_XfTeFnU"",""1-12每月!$H13"")"),20033.0)</f>
        <v>20033</v>
      </c>
      <c r="AL13" s="83">
        <f>IFERROR(__xludf.DUMMYFUNCTION("IMPORTRANGE(""https://docs.google.com/spreadsheets/d/1Y9Uv46r1nA3ixCGwTWZqhGQWDt4KVX4iXmhJgHL5CGQ"",""1-12每月!$H13"")"),18860.0)</f>
        <v>18860</v>
      </c>
      <c r="AM13" s="114">
        <f>IFERROR(__xludf.DUMMYFUNCTION("IMPORTRANGE(""https://docs.google.com/spreadsheets/d/1E3X732-CKfouAVQOwKyrePWwI1Bwg9NHD0VD42lyiu4/edit?gid=1513765949#gid=1513765949"",""1-12每月!$H13"")"),0.0)</f>
        <v>0</v>
      </c>
      <c r="AN13" s="115"/>
      <c r="AO13" s="115"/>
      <c r="AP13" s="115"/>
      <c r="AQ13" s="115"/>
      <c r="AR13" s="108"/>
    </row>
    <row r="14" ht="15.75" customHeight="1">
      <c r="A14" s="85">
        <v>10.0</v>
      </c>
      <c r="B14" s="83">
        <v>3935.0</v>
      </c>
      <c r="C14" s="83">
        <v>1082.0</v>
      </c>
      <c r="D14" s="83">
        <v>1097.0</v>
      </c>
      <c r="E14" s="83">
        <v>2311.0</v>
      </c>
      <c r="F14" s="83">
        <v>1788.0</v>
      </c>
      <c r="G14" s="83">
        <v>1738.0</v>
      </c>
      <c r="H14" s="83">
        <v>2042.0</v>
      </c>
      <c r="I14" s="83">
        <v>1704.0</v>
      </c>
      <c r="J14" s="83">
        <v>4037.0</v>
      </c>
      <c r="K14" s="83">
        <v>1484.0</v>
      </c>
      <c r="L14" s="83">
        <v>794.0</v>
      </c>
      <c r="M14" s="83">
        <f>IFERROR(__xludf.DUMMYFUNCTION("IMPORTRANGE(""https://docs.google.com/spreadsheets/d/1dffLfsI-BGVz-K0zdrsWfGaqrFfoLJAhq001merp6Rk/edit?usp=sharing"",""1-12每月!$G14"")"),2421.0)</f>
        <v>2421</v>
      </c>
      <c r="N14" s="83">
        <f>IFERROR(__xludf.DUMMYFUNCTION("IMPORTRANGE(""https://docs.google.com/spreadsheets/d/1SzxpZPUDnwxS8mSOLGEH5NbWU7ZW_VcRmIn7psOvuTs/edit#gid=1650312294?usp=sharing"",""1-12每月!$G14"")"),2225.0)</f>
        <v>2225</v>
      </c>
      <c r="O14" s="83">
        <f>IFERROR(__xludf.DUMMYFUNCTION("IMPORTRANGE(""https://docs.google.com/spreadsheets/d/1ta9i7cAkOPF0LapwmU_YEDA4IPQvKNuaYVMY8vIVPwI/edit#gid=1607741572?usp=sharing"",""1-12每月!$G14"")"),5754.0)</f>
        <v>5754</v>
      </c>
      <c r="P14" s="83">
        <f>IFERROR(__xludf.DUMMYFUNCTION("IMPORTRANGE(""https://docs.google.com/spreadsheets/d/1f4WWQfcNBonYqfzcaBhJlHzPwh34sx4U6naz-Aw2G4I/edit#gid=2097425894?usp=sharing"",""1-12每月!$H14"")"),6155.0)</f>
        <v>6155</v>
      </c>
      <c r="Q14" s="83">
        <f>IFERROR(__xludf.DUMMYFUNCTION("IMPORTRANGE(""https://docs.google.com/spreadsheets/d/1pCmmgCj7Y_SQPZLsiVd3yvND9oLyryVfBwNxC6OUwm8/edit#gid=170549058?usp=sharing"",""1-12每月!$H14"")"),4600.0)</f>
        <v>4600</v>
      </c>
      <c r="R14" s="83">
        <f>IFERROR(__xludf.DUMMYFUNCTION("IMPORTRANGE(""https://docs.google.com/spreadsheets/d/1hrRqxxacrLITR_JGMRVbhSRCIZIU8gAv0o_aOkHz68M/edit#gid=763155734?usp=sharing"",""1-12每月!$H14"")"),5546.0)</f>
        <v>5546</v>
      </c>
      <c r="S14" s="83">
        <f>IFERROR(__xludf.DUMMYFUNCTION("IMPORTRANGE(""https://docs.google.com/spreadsheets/d/1AKS3XWcgwNLFRbGU-lJ3UBHDQNdglvKwrv4_Bpp1IjU/edit#gid=73116376?usp=sharing"",""1-12每月!$G14"")"),21802.0)</f>
        <v>21802</v>
      </c>
      <c r="T14" s="83">
        <f>IFERROR(__xludf.DUMMYFUNCTION("IMPORTRANGE(""https://docs.google.com/spreadsheets/d/1wGGXGHkWT5JsjUDTy4FnHN_O9ae4MADbMykqIWVThNc/edit#gid=297806252?usp=sharing"",""1-12每月!$G14"")"),2262.0)</f>
        <v>2262</v>
      </c>
      <c r="U14" s="83">
        <f>IFERROR(__xludf.DUMMYFUNCTION("IMPORTRANGE(""https://docs.google.com/spreadsheets/d/1ShTgtQQDjMKpYx-TJ_lwdxnWSzJNUcNnzR3fJjoaZec/edit#gid=66107904?usp=sharing"",""1-12每月!$G14"")"),3978.0)</f>
        <v>3978</v>
      </c>
      <c r="V14" s="83">
        <f>IFERROR(__xludf.DUMMYFUNCTION("IMPORTRANGE(""https://docs.google.com/spreadsheets/d/1_eyuyKbXFCJd6fVFEKQwugwYCbRCmmWN_M7XR1dtOb8/edit#gid=951918895?usp=sharing"",""1-12每月!$G14"")"),11265.0)</f>
        <v>11265</v>
      </c>
      <c r="W14" s="83">
        <f>IFERROR(__xludf.DUMMYFUNCTION("IMPORTRANGE(""https://docs.google.com/spreadsheets/d/1yEpHI9_Y4w8sRmPP9C-mYK4NMfVuTJifGLMj4FMdqek/edit#gid=799087919?usp=sharing"",""1-12每月!$G14"")"),21692.0)</f>
        <v>21692</v>
      </c>
      <c r="X14" s="83">
        <f>IFERROR(__xludf.DUMMYFUNCTION("IMPORTRANGE(""https://docs.google.com/spreadsheets/d/1Vbyb9GlrY6jOwvoGyZFB96f7WXYjkT6gvTE37DPDXDI/edit#gid=9591526?usp=sharing"",""1-12每月!$G14"")"),29752.0)</f>
        <v>29752</v>
      </c>
      <c r="Y14" s="83">
        <f>IFERROR(__xludf.DUMMYFUNCTION("IMPORTRANGE(""https://docs.google.com/spreadsheets/d/1qeckoJwzWQAg8zQ80D-QJP4pnVYH6l2juaUyHtOu6y8/edit#gid=1905704096?usp=sharing"",""1-12每月!$G14"")"),29496.0)</f>
        <v>29496</v>
      </c>
      <c r="Z14" s="83">
        <f>IFERROR(__xludf.DUMMYFUNCTION("IMPORTRANGE(""https://docs.google.com/spreadsheets/d/1BcbIi7AD1VDpy_wMQ0YjCG-iuQy0_tkCVqr72a0Pwbg/edit#gid=1099513714?usp=sharing"",""1-12每月!$G14"")"),18112.0)</f>
        <v>18112</v>
      </c>
      <c r="AA14" s="83">
        <f>IFERROR(__xludf.DUMMYFUNCTION("IMPORTRANGE(""https://docs.google.com/spreadsheets/d/1cIFCQPaYiOmIt2O3vkEx5eto8sfRtx3JtAWJ1fv31HI/edit#gid=432689709?usp=sharing"",""1-12每月!$G14"")"),18606.0)</f>
        <v>18606</v>
      </c>
      <c r="AB14" s="83">
        <f>IFERROR(__xludf.DUMMYFUNCTION("IMPORTRANGE(""https://docs.google.com/spreadsheets/d/1C8ECYlbes2CJkHHGOAyOYVfrP7PdlGr8RMjK7KZd0_o/edit#gid=495469277?usp=sharing"",""1-12每月!$G14"")"),30260.0)</f>
        <v>30260</v>
      </c>
      <c r="AC14" s="83">
        <f>IFERROR(__xludf.DUMMYFUNCTION("IMPORTRANGE(""https://docs.google.com/spreadsheets/d/1ettcrhLPK6tkvHZxDTyU2bGIpGSi2ynG91ln0fqz9iE/edit#gid=1364213386?usp=sharing"",""1-12每月!$H14"")"),17661.0)</f>
        <v>17661</v>
      </c>
      <c r="AD14" s="83">
        <f>IFERROR(__xludf.DUMMYFUNCTION("IMPORTRANGE(""https://docs.google.com/spreadsheets/d/1xUhm-MtqzfUO8M5WEWVv9w2EFkv5_PHMOsAlA3CcCWU/edit#gid=1700470961?usp=sharing"",""1-12每月!$H14"")"),22222.0)</f>
        <v>22222</v>
      </c>
      <c r="AE14" s="83">
        <f>IFERROR(__xludf.DUMMYFUNCTION("IMPORTRANGE(""https://docs.google.com/spreadsheets/d/1DP8wl0QQLYSZ8R2aQ8wNmiAUXn7lVrqMsdTccpBmnQc/edit#gid=1145593933?usp=sharing"",""1-12每月!$H14"")"),16119.0)</f>
        <v>16119</v>
      </c>
      <c r="AF14" s="83">
        <f>IFERROR(__xludf.DUMMYFUNCTION("IMPORTRANGE(""https://docs.google.com/spreadsheets/d/17hbKAHrpKLEbG3r9s1Ay3fOGzvOBzSu3Bn_CD4JNLhY/edit#gid=756408948?usp=sharing"",""1-12每月!$H14"")"),19001.0)</f>
        <v>19001</v>
      </c>
      <c r="AG14" s="83">
        <f>IFERROR(__xludf.DUMMYFUNCTION("IMPORTRANGE(""https://docs.google.com/spreadsheets/d/1qeecSCKZ78ENQrsyUYpSNZqvo0-Y-uuGKFA1F06yLEM/edit#gid=874445072?usp=sharing"",""1-12每月!$H14"")"),23177.0)</f>
        <v>23177</v>
      </c>
      <c r="AH14" s="83">
        <f>IFERROR(__xludf.DUMMYFUNCTION("IMPORTRANGE(""https://docs.google.com/spreadsheets/d/1BSX0y1fIKw9-3VTr627UzGVjwKe74kwBkuFnvlaueNo/edit#gid=1113655470"",""1-12每月!$H14"")"),13032.0)</f>
        <v>13032</v>
      </c>
      <c r="AI14" s="83">
        <f>IFERROR(__xludf.DUMMYFUNCTION("IMPORTRANGE(""https://docs.google.com/spreadsheets/d/1bQzlrSGiVqBrfQ6FKnw67vhBELFgthonryGzmQabVFQ/edit#gid=1015697053?usp=sharing"",""1-12每月!$H14"")"),11080.0)</f>
        <v>11080</v>
      </c>
      <c r="AJ14" s="83">
        <f>IFERROR(__xludf.DUMMYFUNCTION("IMPORTRANGE(""https://docs.google.com/spreadsheets/d/1Pem-mgCz4CF6EUKNVxDQx16g9jie0F5YNDQ_cPnMHYs?usp=sharing"",""1-12每月!$H14"")"),12806.0)</f>
        <v>12806</v>
      </c>
      <c r="AK14" s="83">
        <f>IFERROR(__xludf.DUMMYFUNCTION("IMPORTRANGE(""https://docs.google.com/spreadsheets/d/1ZoRtUl0m9T3TpY8H-9-ntNBO_zrYrgNKuAe_XfTeFnU"",""1-12每月!$H14"")"),15655.0)</f>
        <v>15655</v>
      </c>
      <c r="AL14" s="83">
        <f>IFERROR(__xludf.DUMMYFUNCTION("IMPORTRANGE(""https://docs.google.com/spreadsheets/d/1Y9Uv46r1nA3ixCGwTWZqhGQWDt4KVX4iXmhJgHL5CGQ"",""1-12每月!$H14"")"),17513.0)</f>
        <v>17513</v>
      </c>
      <c r="AM14" s="114">
        <f>IFERROR(__xludf.DUMMYFUNCTION("IMPORTRANGE(""https://docs.google.com/spreadsheets/d/1E3X732-CKfouAVQOwKyrePWwI1Bwg9NHD0VD42lyiu4/edit?gid=1513765949#gid=1513765949"",""1-12每月!$H14"")"),0.0)</f>
        <v>0</v>
      </c>
      <c r="AN14" s="115"/>
      <c r="AO14" s="115"/>
      <c r="AP14" s="115"/>
      <c r="AQ14" s="115"/>
      <c r="AR14" s="108"/>
    </row>
    <row r="15" ht="15.75" customHeight="1">
      <c r="A15" s="85">
        <v>11.0</v>
      </c>
      <c r="B15" s="83">
        <v>706.0</v>
      </c>
      <c r="C15" s="83">
        <v>237.0</v>
      </c>
      <c r="D15" s="83">
        <v>249.0</v>
      </c>
      <c r="E15" s="83">
        <v>199.0</v>
      </c>
      <c r="F15" s="83">
        <v>224.0</v>
      </c>
      <c r="G15" s="83">
        <v>494.0</v>
      </c>
      <c r="H15" s="83">
        <v>403.0</v>
      </c>
      <c r="I15" s="83">
        <v>198.0</v>
      </c>
      <c r="J15" s="83">
        <v>496.0</v>
      </c>
      <c r="K15" s="83">
        <v>959.0</v>
      </c>
      <c r="L15" s="83">
        <v>236.0</v>
      </c>
      <c r="M15" s="83">
        <f>IFERROR(__xludf.DUMMYFUNCTION("IMPORTRANGE(""https://docs.google.com/spreadsheets/d/1dffLfsI-BGVz-K0zdrsWfGaqrFfoLJAhq001merp6Rk/edit?usp=sharing"",""1-12每月!$G15"")"),384.0)</f>
        <v>384</v>
      </c>
      <c r="N15" s="83">
        <f>IFERROR(__xludf.DUMMYFUNCTION("IMPORTRANGE(""https://docs.google.com/spreadsheets/d/1SzxpZPUDnwxS8mSOLGEH5NbWU7ZW_VcRmIn7psOvuTs/edit#gid=1650312294?usp=sharing"",""1-12每月!$G15"")"),813.0)</f>
        <v>813</v>
      </c>
      <c r="O15" s="83">
        <f>IFERROR(__xludf.DUMMYFUNCTION("IMPORTRANGE(""https://docs.google.com/spreadsheets/d/1ta9i7cAkOPF0LapwmU_YEDA4IPQvKNuaYVMY8vIVPwI/edit#gid=1607741572?usp=sharing"",""1-12每月!$G15"")"),700.0)</f>
        <v>700</v>
      </c>
      <c r="P15" s="83">
        <f>IFERROR(__xludf.DUMMYFUNCTION("IMPORTRANGE(""https://docs.google.com/spreadsheets/d/1f4WWQfcNBonYqfzcaBhJlHzPwh34sx4U6naz-Aw2G4I/edit#gid=2097425894?usp=sharing"",""1-12每月!$H15"")"),1776.0)</f>
        <v>1776</v>
      </c>
      <c r="Q15" s="83">
        <f>IFERROR(__xludf.DUMMYFUNCTION("IMPORTRANGE(""https://docs.google.com/spreadsheets/d/1pCmmgCj7Y_SQPZLsiVd3yvND9oLyryVfBwNxC6OUwm8/edit#gid=170549058?usp=sharing"",""1-12每月!$H15"")"),892.0)</f>
        <v>892</v>
      </c>
      <c r="R15" s="83">
        <f>IFERROR(__xludf.DUMMYFUNCTION("IMPORTRANGE(""https://docs.google.com/spreadsheets/d/1hrRqxxacrLITR_JGMRVbhSRCIZIU8gAv0o_aOkHz68M/edit#gid=763155734?usp=sharing"",""1-12每月!$H15"")"),780.0)</f>
        <v>780</v>
      </c>
      <c r="S15" s="83">
        <f>IFERROR(__xludf.DUMMYFUNCTION("IMPORTRANGE(""https://docs.google.com/spreadsheets/d/1AKS3XWcgwNLFRbGU-lJ3UBHDQNdglvKwrv4_Bpp1IjU/edit#gid=73116376?usp=sharing"",""1-12每月!$G15"")"),24824.0)</f>
        <v>24824</v>
      </c>
      <c r="T15" s="83">
        <f>IFERROR(__xludf.DUMMYFUNCTION("IMPORTRANGE(""https://docs.google.com/spreadsheets/d/1wGGXGHkWT5JsjUDTy4FnHN_O9ae4MADbMykqIWVThNc/edit#gid=297806252?usp=sharing"",""1-12每月!$G15"")"),724.0)</f>
        <v>724</v>
      </c>
      <c r="U15" s="83">
        <f>IFERROR(__xludf.DUMMYFUNCTION("IMPORTRANGE(""https://docs.google.com/spreadsheets/d/1ShTgtQQDjMKpYx-TJ_lwdxnWSzJNUcNnzR3fJjoaZec/edit#gid=66107904?usp=sharing"",""1-12每月!$G15"")"),897.0)</f>
        <v>897</v>
      </c>
      <c r="V15" s="83">
        <f>IFERROR(__xludf.DUMMYFUNCTION("IMPORTRANGE(""https://docs.google.com/spreadsheets/d/1_eyuyKbXFCJd6fVFEKQwugwYCbRCmmWN_M7XR1dtOb8/edit#gid=951918895?usp=sharing"",""1-12每月!$G15"")"),13025.0)</f>
        <v>13025</v>
      </c>
      <c r="W15" s="83">
        <f>IFERROR(__xludf.DUMMYFUNCTION("IMPORTRANGE(""https://docs.google.com/spreadsheets/d/1yEpHI9_Y4w8sRmPP9C-mYK4NMfVuTJifGLMj4FMdqek/edit#gid=799087919?usp=sharing"",""1-12每月!$G15"")"),22059.0)</f>
        <v>22059</v>
      </c>
      <c r="X15" s="83">
        <f>IFERROR(__xludf.DUMMYFUNCTION("IMPORTRANGE(""https://docs.google.com/spreadsheets/d/1Vbyb9GlrY6jOwvoGyZFB96f7WXYjkT6gvTE37DPDXDI/edit#gid=9591526?usp=sharing"",""1-12每月!$G15"")"),27213.0)</f>
        <v>27213</v>
      </c>
      <c r="Y15" s="83">
        <f>IFERROR(__xludf.DUMMYFUNCTION("IMPORTRANGE(""https://docs.google.com/spreadsheets/d/1qeckoJwzWQAg8zQ80D-QJP4pnVYH6l2juaUyHtOu6y8/edit#gid=1905704096?usp=sharing"",""1-12每月!$G15"")"),26599.0)</f>
        <v>26599</v>
      </c>
      <c r="Z15" s="83">
        <f>IFERROR(__xludf.DUMMYFUNCTION("IMPORTRANGE(""https://docs.google.com/spreadsheets/d/1BcbIi7AD1VDpy_wMQ0YjCG-iuQy0_tkCVqr72a0Pwbg/edit#gid=1099513714?usp=sharing"",""1-12每月!$G15"")"),14960.0)</f>
        <v>14960</v>
      </c>
      <c r="AA15" s="83">
        <f>IFERROR(__xludf.DUMMYFUNCTION("IMPORTRANGE(""https://docs.google.com/spreadsheets/d/1cIFCQPaYiOmIt2O3vkEx5eto8sfRtx3JtAWJ1fv31HI/edit#gid=432689709?usp=sharing"",""1-12每月!$G15"")"),19598.0)</f>
        <v>19598</v>
      </c>
      <c r="AB15" s="83">
        <f>IFERROR(__xludf.DUMMYFUNCTION("IMPORTRANGE(""https://docs.google.com/spreadsheets/d/1C8ECYlbes2CJkHHGOAyOYVfrP7PdlGr8RMjK7KZd0_o/edit#gid=495469277?usp=sharing"",""1-12每月!$G15"")"),19679.0)</f>
        <v>19679</v>
      </c>
      <c r="AC15" s="83">
        <f>IFERROR(__xludf.DUMMYFUNCTION("IMPORTRANGE(""https://docs.google.com/spreadsheets/d/1ettcrhLPK6tkvHZxDTyU2bGIpGSi2ynG91ln0fqz9iE/edit#gid=1364213386?usp=sharing"",""1-12每月!$H15"")"),16529.0)</f>
        <v>16529</v>
      </c>
      <c r="AD15" s="83">
        <f>IFERROR(__xludf.DUMMYFUNCTION("IMPORTRANGE(""https://docs.google.com/spreadsheets/d/1xUhm-MtqzfUO8M5WEWVv9w2EFkv5_PHMOsAlA3CcCWU/edit#gid=1700470961?usp=sharing"",""1-12每月!$H15"")"),17572.0)</f>
        <v>17572</v>
      </c>
      <c r="AE15" s="83">
        <f>IFERROR(__xludf.DUMMYFUNCTION("IMPORTRANGE(""https://docs.google.com/spreadsheets/d/1DP8wl0QQLYSZ8R2aQ8wNmiAUXn7lVrqMsdTccpBmnQc/edit#gid=1145593933?usp=sharing"",""1-12每月!$H15"")"),13185.0)</f>
        <v>13185</v>
      </c>
      <c r="AF15" s="83">
        <f>IFERROR(__xludf.DUMMYFUNCTION("IMPORTRANGE(""https://docs.google.com/spreadsheets/d/17hbKAHrpKLEbG3r9s1Ay3fOGzvOBzSu3Bn_CD4JNLhY/edit#gid=756408948?usp=sharing"",""1-12每月!$H15"")"),14394.0)</f>
        <v>14394</v>
      </c>
      <c r="AG15" s="83">
        <f>IFERROR(__xludf.DUMMYFUNCTION("IMPORTRANGE(""https://docs.google.com/spreadsheets/d/1qeecSCKZ78ENQrsyUYpSNZqvo0-Y-uuGKFA1F06yLEM/edit#gid=874445072?usp=sharing"",""1-12每月!$H15"")"),14539.0)</f>
        <v>14539</v>
      </c>
      <c r="AH15" s="83">
        <f>IFERROR(__xludf.DUMMYFUNCTION("IMPORTRANGE(""https://docs.google.com/spreadsheets/d/1BSX0y1fIKw9-3VTr627UzGVjwKe74kwBkuFnvlaueNo/edit#gid=1113655470"",""1-12每月!$H15"")"),12065.0)</f>
        <v>12065</v>
      </c>
      <c r="AI15" s="83">
        <f>IFERROR(__xludf.DUMMYFUNCTION("IMPORTRANGE(""https://docs.google.com/spreadsheets/d/1bQzlrSGiVqBrfQ6FKnw67vhBELFgthonryGzmQabVFQ/edit#gid=1015697053?usp=sharing"",""1-12每月!$H15"")"),8010.0)</f>
        <v>8010</v>
      </c>
      <c r="AJ15" s="83">
        <f>IFERROR(__xludf.DUMMYFUNCTION("IMPORTRANGE(""https://docs.google.com/spreadsheets/d/1Pem-mgCz4CF6EUKNVxDQx16g9jie0F5YNDQ_cPnMHYs?usp=sharing"",""1-12每月!$H15"")"),10428.0)</f>
        <v>10428</v>
      </c>
      <c r="AK15" s="83">
        <f>IFERROR(__xludf.DUMMYFUNCTION("IMPORTRANGE(""https://docs.google.com/spreadsheets/d/1ZoRtUl0m9T3TpY8H-9-ntNBO_zrYrgNKuAe_XfTeFnU"",""1-12每月!$H15"")"),16629.0)</f>
        <v>16629</v>
      </c>
      <c r="AL15" s="83">
        <f>IFERROR(__xludf.DUMMYFUNCTION("IMPORTRANGE(""https://docs.google.com/spreadsheets/d/1Y9Uv46r1nA3ixCGwTWZqhGQWDt4KVX4iXmhJgHL5CGQ"",""1-12每月!$H15"")"),15278.0)</f>
        <v>15278</v>
      </c>
      <c r="AM15" s="114">
        <f>IFERROR(__xludf.DUMMYFUNCTION("IMPORTRANGE(""https://docs.google.com/spreadsheets/d/1E3X732-CKfouAVQOwKyrePWwI1Bwg9NHD0VD42lyiu4/edit?gid=1513765949#gid=1513765949"",""1-12每月!$H15"")"),0.0)</f>
        <v>0</v>
      </c>
      <c r="AN15" s="115"/>
      <c r="AO15" s="115"/>
      <c r="AP15" s="115"/>
      <c r="AQ15" s="115"/>
      <c r="AR15" s="108"/>
    </row>
    <row r="16" ht="15.75" customHeight="1">
      <c r="A16" s="85">
        <v>12.0</v>
      </c>
      <c r="B16" s="83">
        <v>86.0</v>
      </c>
      <c r="C16" s="83">
        <v>36.0</v>
      </c>
      <c r="D16" s="83">
        <v>23.0</v>
      </c>
      <c r="E16" s="83">
        <v>75.0</v>
      </c>
      <c r="F16" s="83">
        <v>4.0</v>
      </c>
      <c r="G16" s="83">
        <v>11.0</v>
      </c>
      <c r="H16" s="83">
        <v>26.0</v>
      </c>
      <c r="I16" s="83">
        <v>29.0</v>
      </c>
      <c r="J16" s="83">
        <v>139.0</v>
      </c>
      <c r="K16" s="83">
        <v>172.0</v>
      </c>
      <c r="L16" s="83">
        <v>61.0</v>
      </c>
      <c r="M16" s="83">
        <f>IFERROR(__xludf.DUMMYFUNCTION("IMPORTRANGE(""https://docs.google.com/spreadsheets/d/1dffLfsI-BGVz-K0zdrsWfGaqrFfoLJAhq001merp6Rk/edit?usp=sharing"",""1-12每月!$G16"")"),42.0)</f>
        <v>42</v>
      </c>
      <c r="N16" s="83">
        <f>IFERROR(__xludf.DUMMYFUNCTION("IMPORTRANGE(""https://docs.google.com/spreadsheets/d/1SzxpZPUDnwxS8mSOLGEH5NbWU7ZW_VcRmIn7psOvuTs/edit#gid=1650312294?usp=sharing"",""1-12每月!$G16"")"),310.0)</f>
        <v>310</v>
      </c>
      <c r="O16" s="83">
        <f>IFERROR(__xludf.DUMMYFUNCTION("IMPORTRANGE(""https://docs.google.com/spreadsheets/d/1ta9i7cAkOPF0LapwmU_YEDA4IPQvKNuaYVMY8vIVPwI/edit#gid=1607741572?usp=sharing"",""1-12每月!$G16"")"),488.0)</f>
        <v>488</v>
      </c>
      <c r="P16" s="83">
        <f>IFERROR(__xludf.DUMMYFUNCTION("IMPORTRANGE(""https://docs.google.com/spreadsheets/d/1f4WWQfcNBonYqfzcaBhJlHzPwh34sx4U6naz-Aw2G4I/edit#gid=2097425894?usp=sharing"",""1-12每月!$H16"")"),180.0)</f>
        <v>180</v>
      </c>
      <c r="Q16" s="83">
        <f>IFERROR(__xludf.DUMMYFUNCTION("IMPORTRANGE(""https://docs.google.com/spreadsheets/d/1pCmmgCj7Y_SQPZLsiVd3yvND9oLyryVfBwNxC6OUwm8/edit#gid=170549058?usp=sharing"",""1-12每月!$H16"")"),205.0)</f>
        <v>205</v>
      </c>
      <c r="R16" s="83">
        <f>IFERROR(__xludf.DUMMYFUNCTION("IMPORTRANGE(""https://docs.google.com/spreadsheets/d/1hrRqxxacrLITR_JGMRVbhSRCIZIU8gAv0o_aOkHz68M/edit#gid=763155734?usp=sharing"",""1-12每月!$H16"")"),120.0)</f>
        <v>120</v>
      </c>
      <c r="S16" s="83">
        <f>IFERROR(__xludf.DUMMYFUNCTION("IMPORTRANGE(""https://docs.google.com/spreadsheets/d/1AKS3XWcgwNLFRbGU-lJ3UBHDQNdglvKwrv4_Bpp1IjU/edit#gid=73116376?usp=sharing"",""1-12每月!$G16"")"),502.0)</f>
        <v>502</v>
      </c>
      <c r="T16" s="83">
        <f>IFERROR(__xludf.DUMMYFUNCTION("IMPORTRANGE(""https://docs.google.com/spreadsheets/d/1wGGXGHkWT5JsjUDTy4FnHN_O9ae4MADbMykqIWVThNc/edit#gid=297806252?usp=sharing"",""1-12每月!$G16"")"),639.0)</f>
        <v>639</v>
      </c>
      <c r="U16" s="83">
        <f>IFERROR(__xludf.DUMMYFUNCTION("IMPORTRANGE(""https://docs.google.com/spreadsheets/d/1ShTgtQQDjMKpYx-TJ_lwdxnWSzJNUcNnzR3fJjoaZec/edit#gid=66107904?usp=sharing"",""1-12每月!$G16"")"),458.0)</f>
        <v>458</v>
      </c>
      <c r="V16" s="83">
        <f>IFERROR(__xludf.DUMMYFUNCTION("IMPORTRANGE(""https://docs.google.com/spreadsheets/d/1_eyuyKbXFCJd6fVFEKQwugwYCbRCmmWN_M7XR1dtOb8/edit#gid=951918895?usp=sharing"",""1-12每月!$G16"")"),486.0)</f>
        <v>486</v>
      </c>
      <c r="W16" s="83">
        <f>IFERROR(__xludf.DUMMYFUNCTION("IMPORTRANGE(""https://docs.google.com/spreadsheets/d/1yEpHI9_Y4w8sRmPP9C-mYK4NMfVuTJifGLMj4FMdqek/edit#gid=799087919?usp=sharing"",""1-12每月!$G16"")"),26655.0)</f>
        <v>26655</v>
      </c>
      <c r="X16" s="83">
        <f>IFERROR(__xludf.DUMMYFUNCTION("IMPORTRANGE(""https://docs.google.com/spreadsheets/d/1Vbyb9GlrY6jOwvoGyZFB96f7WXYjkT6gvTE37DPDXDI/edit#gid=9591526?usp=sharing"",""1-12每月!$G16"")"),31301.0)</f>
        <v>31301</v>
      </c>
      <c r="Y16" s="83">
        <f>IFERROR(__xludf.DUMMYFUNCTION("IMPORTRANGE(""https://docs.google.com/spreadsheets/d/1qeckoJwzWQAg8zQ80D-QJP4pnVYH6l2juaUyHtOu6y8/edit#gid=1905704096?usp=sharing"",""1-12每月!$G16"")"),26538.0)</f>
        <v>26538</v>
      </c>
      <c r="Z16" s="83">
        <f>IFERROR(__xludf.DUMMYFUNCTION("IMPORTRANGE(""https://docs.google.com/spreadsheets/d/1BcbIi7AD1VDpy_wMQ0YjCG-iuQy0_tkCVqr72a0Pwbg/edit#gid=1099513714?usp=sharing"",""1-12每月!$G16"")"),17073.0)</f>
        <v>17073</v>
      </c>
      <c r="AA16" s="83">
        <f>IFERROR(__xludf.DUMMYFUNCTION("IMPORTRANGE(""https://docs.google.com/spreadsheets/d/1cIFCQPaYiOmIt2O3vkEx5eto8sfRtx3JtAWJ1fv31HI/edit#gid=432689709?usp=sharing"",""1-12每月!$G16"")"),14088.0)</f>
        <v>14088</v>
      </c>
      <c r="AB16" s="83">
        <f>IFERROR(__xludf.DUMMYFUNCTION("IMPORTRANGE(""https://docs.google.com/spreadsheets/d/1C8ECYlbes2CJkHHGOAyOYVfrP7PdlGr8RMjK7KZd0_o/edit#gid=495469277?usp=sharing"",""1-12每月!$G16"")"),17419.0)</f>
        <v>17419</v>
      </c>
      <c r="AC16" s="83">
        <f>IFERROR(__xludf.DUMMYFUNCTION("IMPORTRANGE(""https://docs.google.com/spreadsheets/d/1ettcrhLPK6tkvHZxDTyU2bGIpGSi2ynG91ln0fqz9iE/edit#gid=1364213386?usp=sharing"",""1-12每月!$H16"")"),16317.0)</f>
        <v>16317</v>
      </c>
      <c r="AD16" s="83">
        <f>IFERROR(__xludf.DUMMYFUNCTION("IMPORTRANGE(""https://docs.google.com/spreadsheets/d/1xUhm-MtqzfUO8M5WEWVv9w2EFkv5_PHMOsAlA3CcCWU/edit#gid=1700470961?usp=sharing"",""1-12每月!$H16"")"),19680.0)</f>
        <v>19680</v>
      </c>
      <c r="AE16" s="83">
        <f>IFERROR(__xludf.DUMMYFUNCTION("IMPORTRANGE(""https://docs.google.com/spreadsheets/d/1DP8wl0QQLYSZ8R2aQ8wNmiAUXn7lVrqMsdTccpBmnQc/edit#gid=1145593933?usp=sharing"",""1-12每月!$H16"")"),16230.0)</f>
        <v>16230</v>
      </c>
      <c r="AF16" s="83">
        <f>IFERROR(__xludf.DUMMYFUNCTION("IMPORTRANGE(""https://docs.google.com/spreadsheets/d/17hbKAHrpKLEbG3r9s1Ay3fOGzvOBzSu3Bn_CD4JNLhY/edit#gid=756408948?usp=sharing"",""1-12每月!$H16"")"),12615.0)</f>
        <v>12615</v>
      </c>
      <c r="AG16" s="83">
        <f>IFERROR(__xludf.DUMMYFUNCTION("IMPORTRANGE(""https://docs.google.com/spreadsheets/d/1qeecSCKZ78ENQrsyUYpSNZqvo0-Y-uuGKFA1F06yLEM/edit#gid=874445072?usp=sharing"",""1-12每月!$H16"")"),7300.0)</f>
        <v>7300</v>
      </c>
      <c r="AH16" s="83">
        <f>IFERROR(__xludf.DUMMYFUNCTION("IMPORTRANGE(""https://docs.google.com/spreadsheets/d/1BSX0y1fIKw9-3VTr627UzGVjwKe74kwBkuFnvlaueNo/edit#gid=1113655470"",""1-12每月!$H16"")"),11986.0)</f>
        <v>11986</v>
      </c>
      <c r="AI16" s="83">
        <f>IFERROR(__xludf.DUMMYFUNCTION("IMPORTRANGE(""https://docs.google.com/spreadsheets/d/1bQzlrSGiVqBrfQ6FKnw67vhBELFgthonryGzmQabVFQ/edit#gid=1015697053?usp=sharing"",""1-12每月!$H16"")"),8828.0)</f>
        <v>8828</v>
      </c>
      <c r="AJ16" s="83">
        <f>IFERROR(__xludf.DUMMYFUNCTION("IMPORTRANGE(""https://docs.google.com/spreadsheets/d/1Pem-mgCz4CF6EUKNVxDQx16g9jie0F5YNDQ_cPnMHYs?usp=sharing"",""1-12每月!$H16"")"),9829.0)</f>
        <v>9829</v>
      </c>
      <c r="AK16" s="83">
        <f>IFERROR(__xludf.DUMMYFUNCTION("IMPORTRANGE(""https://docs.google.com/spreadsheets/d/1ZoRtUl0m9T3TpY8H-9-ntNBO_zrYrgNKuAe_XfTeFnU"",""1-12每月!$H16"")"),17796.0)</f>
        <v>17796</v>
      </c>
      <c r="AL16" s="83">
        <f>IFERROR(__xludf.DUMMYFUNCTION("IMPORTRANGE(""https://docs.google.com/spreadsheets/d/1Y9Uv46r1nA3ixCGwTWZqhGQWDt4KVX4iXmhJgHL5CGQ"",""1-12每月!$H16"")"),17103.0)</f>
        <v>17103</v>
      </c>
      <c r="AM16" s="114">
        <f>IFERROR(__xludf.DUMMYFUNCTION("IMPORTRANGE(""https://docs.google.com/spreadsheets/d/1E3X732-CKfouAVQOwKyrePWwI1Bwg9NHD0VD42lyiu4/edit?gid=1513765949#gid=1513765949"",""1-12每月!$H16"")"),0.0)</f>
        <v>0</v>
      </c>
      <c r="AN16" s="115"/>
      <c r="AO16" s="115"/>
      <c r="AP16" s="115"/>
      <c r="AQ16" s="115"/>
      <c r="AR16" s="108"/>
    </row>
    <row r="17" ht="15.75" customHeight="1">
      <c r="A17" s="86" t="s">
        <v>45</v>
      </c>
      <c r="B17" s="87">
        <f t="shared" ref="B17:AR17" si="1">SUM(B5:B16)</f>
        <v>86533</v>
      </c>
      <c r="C17" s="87">
        <f t="shared" si="1"/>
        <v>74374</v>
      </c>
      <c r="D17" s="87">
        <f t="shared" si="1"/>
        <v>55660</v>
      </c>
      <c r="E17" s="87">
        <f t="shared" si="1"/>
        <v>58001</v>
      </c>
      <c r="F17" s="87">
        <f t="shared" si="1"/>
        <v>60244</v>
      </c>
      <c r="G17" s="87">
        <f t="shared" si="1"/>
        <v>52083</v>
      </c>
      <c r="H17" s="87">
        <f t="shared" si="1"/>
        <v>56712</v>
      </c>
      <c r="I17" s="87">
        <f t="shared" si="1"/>
        <v>55259</v>
      </c>
      <c r="J17" s="87">
        <f t="shared" si="1"/>
        <v>81619</v>
      </c>
      <c r="K17" s="87">
        <f t="shared" si="1"/>
        <v>105238</v>
      </c>
      <c r="L17" s="87">
        <f t="shared" si="1"/>
        <v>87973</v>
      </c>
      <c r="M17" s="87">
        <f t="shared" si="1"/>
        <v>78125</v>
      </c>
      <c r="N17" s="87">
        <f t="shared" si="1"/>
        <v>81577</v>
      </c>
      <c r="O17" s="87">
        <f t="shared" si="1"/>
        <v>81181</v>
      </c>
      <c r="P17" s="87">
        <f t="shared" si="1"/>
        <v>89854</v>
      </c>
      <c r="Q17" s="87">
        <f t="shared" si="1"/>
        <v>93140</v>
      </c>
      <c r="R17" s="87">
        <f t="shared" si="1"/>
        <v>63780</v>
      </c>
      <c r="S17" s="87">
        <f t="shared" si="1"/>
        <v>126140</v>
      </c>
      <c r="T17" s="87">
        <f t="shared" si="1"/>
        <v>66668</v>
      </c>
      <c r="U17" s="87">
        <f t="shared" si="1"/>
        <v>86578</v>
      </c>
      <c r="V17" s="87">
        <f t="shared" si="1"/>
        <v>221567</v>
      </c>
      <c r="W17" s="87">
        <f t="shared" si="1"/>
        <v>285110</v>
      </c>
      <c r="X17" s="87">
        <f t="shared" si="1"/>
        <v>342401</v>
      </c>
      <c r="Y17" s="87">
        <f t="shared" si="1"/>
        <v>342700</v>
      </c>
      <c r="Z17" s="87">
        <f t="shared" si="1"/>
        <v>285602</v>
      </c>
      <c r="AA17" s="87">
        <f t="shared" si="1"/>
        <v>273141</v>
      </c>
      <c r="AB17" s="87">
        <f t="shared" si="1"/>
        <v>300390</v>
      </c>
      <c r="AC17" s="87">
        <f t="shared" si="1"/>
        <v>241501</v>
      </c>
      <c r="AD17" s="87">
        <f t="shared" si="1"/>
        <v>229975</v>
      </c>
      <c r="AE17" s="87">
        <f t="shared" si="1"/>
        <v>204578.4</v>
      </c>
      <c r="AF17" s="87">
        <f t="shared" si="1"/>
        <v>199435</v>
      </c>
      <c r="AG17" s="87">
        <f t="shared" si="1"/>
        <v>220129</v>
      </c>
      <c r="AH17" s="87">
        <f t="shared" si="1"/>
        <v>115473</v>
      </c>
      <c r="AI17" s="87">
        <f t="shared" si="1"/>
        <v>159338</v>
      </c>
      <c r="AJ17" s="87">
        <f t="shared" si="1"/>
        <v>148386</v>
      </c>
      <c r="AK17" s="87">
        <f t="shared" si="1"/>
        <v>203552</v>
      </c>
      <c r="AL17" s="87">
        <f t="shared" si="1"/>
        <v>236784</v>
      </c>
      <c r="AM17" s="87">
        <f t="shared" si="1"/>
        <v>121645</v>
      </c>
      <c r="AN17" s="87">
        <f t="shared" si="1"/>
        <v>0</v>
      </c>
      <c r="AO17" s="87">
        <f t="shared" si="1"/>
        <v>0</v>
      </c>
      <c r="AP17" s="87">
        <f t="shared" si="1"/>
        <v>0</v>
      </c>
      <c r="AQ17" s="87">
        <f t="shared" si="1"/>
        <v>0</v>
      </c>
      <c r="AR17" s="88">
        <f t="shared" si="1"/>
        <v>0</v>
      </c>
    </row>
    <row r="18" ht="15.75" customHeight="1">
      <c r="A18" s="89" t="s">
        <v>14</v>
      </c>
      <c r="B18" s="109"/>
      <c r="C18" s="90">
        <f t="shared" ref="C18:AC18" si="2">(C17-B17)/B17</f>
        <v>-0.1405128679</v>
      </c>
      <c r="D18" s="90">
        <f t="shared" si="2"/>
        <v>-0.2516201899</v>
      </c>
      <c r="E18" s="90">
        <f t="shared" si="2"/>
        <v>0.04205892921</v>
      </c>
      <c r="F18" s="90">
        <f t="shared" si="2"/>
        <v>0.03867174704</v>
      </c>
      <c r="G18" s="90">
        <f t="shared" si="2"/>
        <v>-0.1354657725</v>
      </c>
      <c r="H18" s="90">
        <f t="shared" si="2"/>
        <v>0.08887736882</v>
      </c>
      <c r="I18" s="90">
        <f t="shared" si="2"/>
        <v>-0.02562067993</v>
      </c>
      <c r="J18" s="90">
        <f t="shared" si="2"/>
        <v>0.4770263667</v>
      </c>
      <c r="K18" s="90">
        <f t="shared" si="2"/>
        <v>0.289381149</v>
      </c>
      <c r="L18" s="90">
        <f t="shared" si="2"/>
        <v>-0.1640567096</v>
      </c>
      <c r="M18" s="90">
        <f t="shared" si="2"/>
        <v>-0.1119434372</v>
      </c>
      <c r="N18" s="90">
        <f t="shared" si="2"/>
        <v>0.0441856</v>
      </c>
      <c r="O18" s="90">
        <f t="shared" si="2"/>
        <v>-0.004854309425</v>
      </c>
      <c r="P18" s="90">
        <f t="shared" si="2"/>
        <v>0.1068353432</v>
      </c>
      <c r="Q18" s="90">
        <f t="shared" si="2"/>
        <v>0.03657043649</v>
      </c>
      <c r="R18" s="90">
        <f t="shared" si="2"/>
        <v>-0.3152243934</v>
      </c>
      <c r="S18" s="90">
        <f t="shared" si="2"/>
        <v>0.9777359674</v>
      </c>
      <c r="T18" s="90">
        <f t="shared" si="2"/>
        <v>-0.4714761376</v>
      </c>
      <c r="U18" s="90">
        <f t="shared" si="2"/>
        <v>0.2986440271</v>
      </c>
      <c r="V18" s="90">
        <f t="shared" si="2"/>
        <v>1.559160526</v>
      </c>
      <c r="W18" s="90">
        <f t="shared" si="2"/>
        <v>0.2867890977</v>
      </c>
      <c r="X18" s="90">
        <f t="shared" si="2"/>
        <v>0.2009434955</v>
      </c>
      <c r="Y18" s="90">
        <f t="shared" si="2"/>
        <v>0.0008732451132</v>
      </c>
      <c r="Z18" s="90">
        <f t="shared" si="2"/>
        <v>-0.1666121973</v>
      </c>
      <c r="AA18" s="90">
        <f t="shared" si="2"/>
        <v>-0.04363064684</v>
      </c>
      <c r="AB18" s="90">
        <f t="shared" si="2"/>
        <v>0.09976166156</v>
      </c>
      <c r="AC18" s="90">
        <f t="shared" si="2"/>
        <v>-0.1960418123</v>
      </c>
      <c r="AD18" s="90">
        <f t="shared" ref="AD18:AR18" si="3">IF(AC17=0,0,(AD17-AC17)/AC17)</f>
        <v>-0.04772651045</v>
      </c>
      <c r="AE18" s="90">
        <f t="shared" si="3"/>
        <v>-0.1104320035</v>
      </c>
      <c r="AF18" s="90">
        <f t="shared" si="3"/>
        <v>-0.02514146166</v>
      </c>
      <c r="AG18" s="90">
        <f t="shared" si="3"/>
        <v>0.1037631308</v>
      </c>
      <c r="AH18" s="90">
        <f t="shared" si="3"/>
        <v>-0.4754303159</v>
      </c>
      <c r="AI18" s="90">
        <f t="shared" si="3"/>
        <v>0.3798723511</v>
      </c>
      <c r="AJ18" s="90">
        <f t="shared" si="3"/>
        <v>-0.06873438853</v>
      </c>
      <c r="AK18" s="90">
        <f t="shared" si="3"/>
        <v>0.3717736175</v>
      </c>
      <c r="AL18" s="90">
        <f t="shared" si="3"/>
        <v>0.1632604936</v>
      </c>
      <c r="AM18" s="90">
        <f t="shared" si="3"/>
        <v>-0.4862617407</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142</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110" t="s">
        <v>143</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144</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110"/>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4">SUM(AD$5:AD$6)</f>
        <v>31036</v>
      </c>
      <c r="AE23" s="92">
        <f t="shared" si="4"/>
        <v>25035</v>
      </c>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5">SUM(AD$7:AD$11)</f>
        <v>93942</v>
      </c>
      <c r="AE24" s="92">
        <f t="shared" si="5"/>
        <v>90961.4</v>
      </c>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2" width="3.67"/>
    <col customWidth="1" min="13" max="13" width="9.11"/>
    <col customWidth="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4" width="9.11"/>
  </cols>
  <sheetData>
    <row r="1" ht="15.75" customHeight="1">
      <c r="A1" s="74" t="s">
        <v>145</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146</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IFERROR(__xludf.DUMMYFUNCTION("IMPORTRANGE(""https://docs.google.com/spreadsheets/d/1dffLfsI-BGVz-K0zdrsWfGaqrFfoLJAhq001merp6Rk/edit?usp=sharing"",""1-12每月!$I5"")"),26078.0)</f>
        <v>26078</v>
      </c>
      <c r="N5" s="83">
        <f>IFERROR(__xludf.DUMMYFUNCTION("IMPORTRANGE(""https://docs.google.com/spreadsheets/d/1SzxpZPUDnwxS8mSOLGEH5NbWU7ZW_VcRmIn7psOvuTs/edit#gid=1650312294?usp=sharing"",""1-12每月!$I5"")"),37530.0)</f>
        <v>37530</v>
      </c>
      <c r="O5" s="83">
        <f>IFERROR(__xludf.DUMMYFUNCTION("IMPORTRANGE(""https://docs.google.com/spreadsheets/d/1ta9i7cAkOPF0LapwmU_YEDA4IPQvKNuaYVMY8vIVPwI/edit#gid=1607741572?usp=sharing"",""1-12每月!$I5"")"),19367.0)</f>
        <v>19367</v>
      </c>
      <c r="P5" s="83">
        <f>IFERROR(__xludf.DUMMYFUNCTION("IMPORTRANGE(""https://docs.google.com/spreadsheets/d/1f4WWQfcNBonYqfzcaBhJlHzPwh34sx4U6naz-Aw2G4I/edit#gid=2097425894?usp=sharing"",""1-12每月!$I5"")"),20233.0)</f>
        <v>20233</v>
      </c>
      <c r="Q5" s="83">
        <f>IFERROR(__xludf.DUMMYFUNCTION("IMPORTRANGE(""https://docs.google.com/spreadsheets/d/1pCmmgCj7Y_SQPZLsiVd3yvND9oLyryVfBwNxC6OUwm8/edit#gid=170549058?usp=sharing"",""1-12每月!$I5"")"),26746.0)</f>
        <v>26746</v>
      </c>
      <c r="R5" s="83">
        <f>IFERROR(__xludf.DUMMYFUNCTION("IMPORTRANGE(""https://docs.google.com/spreadsheets/d/1hrRqxxacrLITR_JGMRVbhSRCIZIU8gAv0o_aOkHz68M/edit#gid=763155734?usp=sharing"",""1-12每月!$I5"")"),16768.0)</f>
        <v>16768</v>
      </c>
      <c r="S5" s="83">
        <f>IFERROR(__xludf.DUMMYFUNCTION("IMPORTRANGE(""https://docs.google.com/spreadsheets/d/1AKS3XWcgwNLFRbGU-lJ3UBHDQNdglvKwrv4_Bpp1IjU/edit#gid=73116376?usp=sharing"",""1-12每月!$H5"")"),13658.0)</f>
        <v>13658</v>
      </c>
      <c r="T5" s="83">
        <f>IFERROR(__xludf.DUMMYFUNCTION("IMPORTRANGE(""https://docs.google.com/spreadsheets/d/1wGGXGHkWT5JsjUDTy4FnHN_O9ae4MADbMykqIWVThNc/edit#gid=297806252"",""1-12每月!$H5"")"),15097.0)</f>
        <v>15097</v>
      </c>
      <c r="U5" s="83">
        <f>IFERROR(__xludf.DUMMYFUNCTION("IMPORTRANGE(""https://docs.google.com/spreadsheets/d/1ShTgtQQDjMKpYx-TJ_lwdxnWSzJNUcNnzR3fJjoaZec/edit#gid=66107904"",""1-12每月!$H5"")"),22844.0)</f>
        <v>22844</v>
      </c>
      <c r="V5" s="83">
        <f>IFERROR(__xludf.DUMMYFUNCTION("IMPORTRANGE(""https://docs.google.com/spreadsheets/d/1_eyuyKbXFCJd6fVFEKQwugwYCbRCmmWN_M7XR1dtOb8/edit#gid=951918895"",""1-12每月!$H5"")"),35379.0)</f>
        <v>35379</v>
      </c>
      <c r="W5" s="83">
        <f>IFERROR(__xludf.DUMMYFUNCTION("IMPORTRANGE(""https://docs.google.com/spreadsheets/d/1yEpHI9_Y4w8sRmPP9C-mYK4NMfVuTJifGLMj4FMdqek/edit#gid=799087919"",""1-12每月!$H5"")"),40636.0)</f>
        <v>40636</v>
      </c>
      <c r="X5" s="83">
        <f>IFERROR(__xludf.DUMMYFUNCTION("IMPORTRANGE(""https://docs.google.com/spreadsheets/d/1Vbyb9GlrY6jOwvoGyZFB96f7WXYjkT6gvTE37DPDXDI/edit#gid=9591526"",""1-12每月!$H5"")"),34829.0)</f>
        <v>34829</v>
      </c>
      <c r="Y5" s="83">
        <f>IFERROR(__xludf.DUMMYFUNCTION("IMPORTRANGE(""https://docs.google.com/spreadsheets/d/1qeckoJwzWQAg8zQ80D-QJP4pnVYH6l2juaUyHtOu6y8/edit#gid=1905704096"",""1-12每月!$H5"")"),70385.88)</f>
        <v>70385.88</v>
      </c>
      <c r="Z5" s="83">
        <f>IFERROR(__xludf.DUMMYFUNCTION("IMPORTRANGE(""https://docs.google.com/spreadsheets/d/1BcbIi7AD1VDpy_wMQ0YjCG-iuQy0_tkCVqr72a0Pwbg/edit#gid=1099513714"",""1-12每月!$H5"")"),42817.0)</f>
        <v>42817</v>
      </c>
      <c r="AA5" s="83">
        <f>IFERROR(__xludf.DUMMYFUNCTION("IMPORTRANGE(""https://docs.google.com/spreadsheets/d/1cIFCQPaYiOmIt2O3vkEx5eto8sfRtx3JtAWJ1fv31HI/edit#gid=432689709"",""1-12每月!$H5"")"),211729.0)</f>
        <v>211729</v>
      </c>
      <c r="AB5" s="83">
        <f>IFERROR(__xludf.DUMMYFUNCTION("IMPORTRANGE(""https://docs.google.com/spreadsheets/d/1C8ECYlbes2CJkHHGOAyOYVfrP7PdlGr8RMjK7KZd0_o/edit#gid=495469277"",""1-12每月!$H5"")"),63479.0)</f>
        <v>63479</v>
      </c>
      <c r="AC5" s="83">
        <f>IFERROR(__xludf.DUMMYFUNCTION("IMPORTRANGE(""https://docs.google.com/spreadsheets/d/1ettcrhLPK6tkvHZxDTyU2bGIpGSi2ynG91ln0fqz9iE/edit#gid=1364213386"",""1-12每月!$I5"")"),54804.0)</f>
        <v>54804</v>
      </c>
      <c r="AD5" s="83">
        <f>IFERROR(__xludf.DUMMYFUNCTION("IMPORTRANGE(""https://docs.google.com/spreadsheets/d/1xUhm-MtqzfUO8M5WEWVv9w2EFkv5_PHMOsAlA3CcCWU/edit#gid=1700470961"",""1-12每月!$I5"")"),31901.0)</f>
        <v>31901</v>
      </c>
      <c r="AE5" s="83">
        <f>IFERROR(__xludf.DUMMYFUNCTION("IMPORTRANGE(""https://docs.google.com/spreadsheets/d/1DP8wl0QQLYSZ8R2aQ8wNmiAUXn7lVrqMsdTccpBmnQc/edit#gid=1145593933"",""1-12每月!$I5"")"),24490.0)</f>
        <v>24490</v>
      </c>
      <c r="AF5" s="83">
        <f>IFERROR(__xludf.DUMMYFUNCTION("IMPORTRANGE(""https://docs.google.com/spreadsheets/d/17hbKAHrpKLEbG3r9s1Ay3fOGzvOBzSu3Bn_CD4JNLhY/edit#gid=756408948"",""1-12每月!$I5"")"),20022.0)</f>
        <v>20022</v>
      </c>
      <c r="AG5" s="83">
        <f>IFERROR(__xludf.DUMMYFUNCTION("IMPORTRANGE(""https://docs.google.com/spreadsheets/d/1qeecSCKZ78ENQrsyUYpSNZqvo0-Y-uuGKFA1F06yLEM/edit#gid=874445072"",""1-12每月!$I5"")"),19647.0)</f>
        <v>19647</v>
      </c>
      <c r="AH5" s="83">
        <f>IFERROR(__xludf.DUMMYFUNCTION("IMPORTRANGE(""https://docs.google.com/spreadsheets/d/1BSX0y1fIKw9-3VTr627UzGVjwKe74kwBkuFnvlaueNo/edit#gid=1113655470"",""1-12每月!$I5"")"),13340.0)</f>
        <v>13340</v>
      </c>
      <c r="AI5" s="83">
        <f>IFERROR(__xludf.DUMMYFUNCTION("IMPORTRANGE(""https://docs.google.com/spreadsheets/d/1bQzlrSGiVqBrfQ6FKnw67vhBELFgthonryGzmQabVFQ/edit#gid=1015697053"",""1-12每月!$I5"")"),7227.0)</f>
        <v>7227</v>
      </c>
      <c r="AJ5" s="83">
        <f>IFERROR(__xludf.DUMMYFUNCTION("IMPORTRANGE(""https://docs.google.com/spreadsheets/d/1Pem-mgCz4CF6EUKNVxDQx16g9jie0F5YNDQ_cPnMHYs"",""1-12每月!$I5"")"),14807.0)</f>
        <v>14807</v>
      </c>
      <c r="AK5" s="83">
        <f>IFERROR(__xludf.DUMMYFUNCTION("IMPORTRANGE(""https://docs.google.com/spreadsheets/d/1ZoRtUl0m9T3TpY8H-9-ntNBO_zrYrgNKuAe_XfTeFnU"",""1-12每月!$I5"")"),30552.0)</f>
        <v>30552</v>
      </c>
      <c r="AL5" s="83">
        <f>IFERROR(__xludf.DUMMYFUNCTION("IMPORTRANGE(""https://docs.google.com/spreadsheets/d/1Y9Uv46r1nA3ixCGwTWZqhGQWDt4KVX4iXmhJgHL5CGQ"",""1-12每月!$I5"")"),28104.0)</f>
        <v>28104</v>
      </c>
      <c r="AM5" s="114">
        <f>IFERROR(__xludf.DUMMYFUNCTION("IMPORTRANGE(""https://docs.google.com/spreadsheets/d/1E3X732-CKfouAVQOwKyrePWwI1Bwg9NHD0VD42lyiu4/edit?gid=1513765949#gid=1513765949"",""1-12每月!$I5"")"),15828.0)</f>
        <v>15828</v>
      </c>
      <c r="AN5" s="114"/>
      <c r="AO5" s="114"/>
      <c r="AP5" s="114"/>
      <c r="AQ5" s="114"/>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IFERROR(__xludf.DUMMYFUNCTION("IMPORTRANGE(""https://docs.google.com/spreadsheets/d/1dffLfsI-BGVz-K0zdrsWfGaqrFfoLJAhq001merp6Rk/edit?usp=sharing"",""1-12每月!$I6"")"),59470.0)</f>
        <v>59470</v>
      </c>
      <c r="N6" s="83">
        <f>IFERROR(__xludf.DUMMYFUNCTION("IMPORTRANGE(""https://docs.google.com/spreadsheets/d/1SzxpZPUDnwxS8mSOLGEH5NbWU7ZW_VcRmIn7psOvuTs/edit#gid=1650312294?usp=sharing"",""1-12每月!$I6"")"),21681.0)</f>
        <v>21681</v>
      </c>
      <c r="O6" s="83">
        <f>IFERROR(__xludf.DUMMYFUNCTION("IMPORTRANGE(""https://docs.google.com/spreadsheets/d/1ta9i7cAkOPF0LapwmU_YEDA4IPQvKNuaYVMY8vIVPwI/edit#gid=1607741572?usp=sharing"",""1-12每月!$I6"")"),33243.0)</f>
        <v>33243</v>
      </c>
      <c r="P6" s="83">
        <f>IFERROR(__xludf.DUMMYFUNCTION("IMPORTRANGE(""https://docs.google.com/spreadsheets/d/1f4WWQfcNBonYqfzcaBhJlHzPwh34sx4U6naz-Aw2G4I/edit#gid=2097425894?usp=sharing"",""1-12每月!$I6"")"),31204.0)</f>
        <v>31204</v>
      </c>
      <c r="Q6" s="83">
        <f>IFERROR(__xludf.DUMMYFUNCTION("IMPORTRANGE(""https://docs.google.com/spreadsheets/d/1pCmmgCj7Y_SQPZLsiVd3yvND9oLyryVfBwNxC6OUwm8/edit#gid=170549058?usp=sharing"",""1-12每月!$I6"")"),18262.0)</f>
        <v>18262</v>
      </c>
      <c r="R6" s="83">
        <f>IFERROR(__xludf.DUMMYFUNCTION("IMPORTRANGE(""https://docs.google.com/spreadsheets/d/1hrRqxxacrLITR_JGMRVbhSRCIZIU8gAv0o_aOkHz68M/edit#gid=763155734?usp=sharing"",""1-12每月!$I6"")"),30179.0)</f>
        <v>30179</v>
      </c>
      <c r="S6" s="83">
        <f>IFERROR(__xludf.DUMMYFUNCTION("IMPORTRANGE(""https://docs.google.com/spreadsheets/d/1AKS3XWcgwNLFRbGU-lJ3UBHDQNdglvKwrv4_Bpp1IjU/edit#gid=73116376?usp=sharing"",""1-12每月!$H6"")"),20626.0)</f>
        <v>20626</v>
      </c>
      <c r="T6" s="83">
        <f>IFERROR(__xludf.DUMMYFUNCTION("IMPORTRANGE(""https://docs.google.com/spreadsheets/d/1wGGXGHkWT5JsjUDTy4FnHN_O9ae4MADbMykqIWVThNc/edit#gid=297806252?usp=sharing"",""1-12每月!$H6"")"),21654.0)</f>
        <v>21654</v>
      </c>
      <c r="U6" s="83">
        <f>IFERROR(__xludf.DUMMYFUNCTION("IMPORTRANGE(""https://docs.google.com/spreadsheets/d/1ShTgtQQDjMKpYx-TJ_lwdxnWSzJNUcNnzR3fJjoaZec/edit#gid=66107904?usp=sharing"",""1-12每月!$H6"")"),19507.0)</f>
        <v>19507</v>
      </c>
      <c r="V6" s="83">
        <f>IFERROR(__xludf.DUMMYFUNCTION("IMPORTRANGE(""https://docs.google.com/spreadsheets/d/1_eyuyKbXFCJd6fVFEKQwugwYCbRCmmWN_M7XR1dtOb8/edit#gid=951918895?usp=sharing"",""1-12每月!$H6"")"),27284.0)</f>
        <v>27284</v>
      </c>
      <c r="W6" s="83">
        <f>IFERROR(__xludf.DUMMYFUNCTION("IMPORTRANGE(""https://docs.google.com/spreadsheets/d/1yEpHI9_Y4w8sRmPP9C-mYK4NMfVuTJifGLMj4FMdqek/edit#gid=799087919?usp=sharing"",""1-12每月!$H6"")"),51118.0)</f>
        <v>51118</v>
      </c>
      <c r="X6" s="83">
        <f>IFERROR(__xludf.DUMMYFUNCTION("IMPORTRANGE(""https://docs.google.com/spreadsheets/d/1Vbyb9GlrY6jOwvoGyZFB96f7WXYjkT6gvTE37DPDXDI/edit#gid=9591526?usp=sharing"",""1-12每月!$H6"")"),38799.0)</f>
        <v>38799</v>
      </c>
      <c r="Y6" s="83">
        <f>IFERROR(__xludf.DUMMYFUNCTION("IMPORTRANGE(""https://docs.google.com/spreadsheets/d/1qeckoJwzWQAg8zQ80D-QJP4pnVYH6l2juaUyHtOu6y8/edit#gid=1905704096?usp=sharing"",""1-12每月!$H6"")"),101636.0)</f>
        <v>101636</v>
      </c>
      <c r="Z6" s="83">
        <f>IFERROR(__xludf.DUMMYFUNCTION("IMPORTRANGE(""https://docs.google.com/spreadsheets/d/1BcbIi7AD1VDpy_wMQ0YjCG-iuQy0_tkCVqr72a0Pwbg/edit#gid=1099513714?usp=sharing"",""1-12每月!$H6"")"),135557.0)</f>
        <v>135557</v>
      </c>
      <c r="AA6" s="83">
        <f>IFERROR(__xludf.DUMMYFUNCTION("IMPORTRANGE(""https://docs.google.com/spreadsheets/d/1cIFCQPaYiOmIt2O3vkEx5eto8sfRtx3JtAWJ1fv31HI/edit#gid=432689709?usp=sharing"",""1-12每月!$H6"")"),242180.0)</f>
        <v>242180</v>
      </c>
      <c r="AB6" s="83">
        <f>IFERROR(__xludf.DUMMYFUNCTION("IMPORTRANGE(""https://docs.google.com/spreadsheets/d/1C8ECYlbes2CJkHHGOAyOYVfrP7PdlGr8RMjK7KZd0_o/edit#gid=495469277?usp=sharing"",""1-12每月!$H6"")"),71027.0)</f>
        <v>71027</v>
      </c>
      <c r="AC6" s="83">
        <f>IFERROR(__xludf.DUMMYFUNCTION("IMPORTRANGE(""https://docs.google.com/spreadsheets/d/1ettcrhLPK6tkvHZxDTyU2bGIpGSi2ynG91ln0fqz9iE/edit#gid=1364213386?usp=sharing"",""1-12每月!$I6"")"),66636.0)</f>
        <v>66636</v>
      </c>
      <c r="AD6" s="83">
        <f>IFERROR(__xludf.DUMMYFUNCTION("IMPORTRANGE(""https://docs.google.com/spreadsheets/d/1xUhm-MtqzfUO8M5WEWVv9w2EFkv5_PHMOsAlA3CcCWU/edit#gid=1700470961?usp=sharing"",""1-12每月!$I6"")"),30579.0)</f>
        <v>30579</v>
      </c>
      <c r="AE6" s="83">
        <f>IFERROR(__xludf.DUMMYFUNCTION("IMPORTRANGE(""https://docs.google.com/spreadsheets/d/1DP8wl0QQLYSZ8R2aQ8wNmiAUXn7lVrqMsdTccpBmnQc/edit#gid=1145593933?usp=sharing"",""1-12每月!$I6"")"),20489.0)</f>
        <v>20489</v>
      </c>
      <c r="AF6" s="83">
        <f>IFERROR(__xludf.DUMMYFUNCTION("IMPORTRANGE(""https://docs.google.com/spreadsheets/d/17hbKAHrpKLEbG3r9s1Ay3fOGzvOBzSu3Bn_CD4JNLhY/edit#gid=756408948?usp=sharing"",""1-12每月!$I6"")"),31159.0)</f>
        <v>31159</v>
      </c>
      <c r="AG6" s="83">
        <f>IFERROR(__xludf.DUMMYFUNCTION("IMPORTRANGE(""https://docs.google.com/spreadsheets/d/1qeecSCKZ78ENQrsyUYpSNZqvo0-Y-uuGKFA1F06yLEM/edit#gid=874445072?usp=sharing"",""1-12每月!$I6"")"),13699.0)</f>
        <v>13699</v>
      </c>
      <c r="AH6" s="83">
        <f>IFERROR(__xludf.DUMMYFUNCTION("IMPORTRANGE(""https://docs.google.com/spreadsheets/d/1BSX0y1fIKw9-3VTr627UzGVjwKe74kwBkuFnvlaueNo/edit#gid=1113655470"",""1-12每月!$I6"")"),20755.0)</f>
        <v>20755</v>
      </c>
      <c r="AI6" s="83">
        <f>IFERROR(__xludf.DUMMYFUNCTION("IMPORTRANGE(""https://docs.google.com/spreadsheets/d/1bQzlrSGiVqBrfQ6FKnw67vhBELFgthonryGzmQabVFQ/edit#gid=1015697053?usp=sharing"",""1-12每月!$I6"")"),13400.0)</f>
        <v>13400</v>
      </c>
      <c r="AJ6" s="83">
        <f>IFERROR(__xludf.DUMMYFUNCTION("IMPORTRANGE(""https://docs.google.com/spreadsheets/d/1Pem-mgCz4CF6EUKNVxDQx16g9jie0F5YNDQ_cPnMHYs"",""1-12每月!$I6"")"),10570.0)</f>
        <v>10570</v>
      </c>
      <c r="AK6" s="83">
        <f>IFERROR(__xludf.DUMMYFUNCTION("IMPORTRANGE(""https://docs.google.com/spreadsheets/d/1ZoRtUl0m9T3TpY8H-9-ntNBO_zrYrgNKuAe_XfTeFnU"",""1-12每月!$I6"")"),41760.0)</f>
        <v>41760</v>
      </c>
      <c r="AL6" s="83">
        <f>IFERROR(__xludf.DUMMYFUNCTION("IMPORTRANGE(""https://docs.google.com/spreadsheets/d/1Y9Uv46r1nA3ixCGwTWZqhGQWDt4KVX4iXmhJgHL5CGQ"",""1-12每月!$I6"")"),21185.0)</f>
        <v>21185</v>
      </c>
      <c r="AM6" s="114">
        <f>IFERROR(__xludf.DUMMYFUNCTION("IMPORTRANGE(""https://docs.google.com/spreadsheets/d/1E3X732-CKfouAVQOwKyrePWwI1Bwg9NHD0VD42lyiu4/edit?gid=1513765949#gid=1513765949"",""1-12每月!$I6"")"),22603.0)</f>
        <v>22603</v>
      </c>
      <c r="AN6" s="114"/>
      <c r="AO6" s="114"/>
      <c r="AP6" s="114"/>
      <c r="AQ6" s="114"/>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IFERROR(__xludf.DUMMYFUNCTION("IMPORTRANGE(""https://docs.google.com/spreadsheets/d/1dffLfsI-BGVz-K0zdrsWfGaqrFfoLJAhq001merp6Rk/edit?usp=sharing"",""1-12每月!$I7"")"),32224.0)</f>
        <v>32224</v>
      </c>
      <c r="N7" s="83">
        <f>IFERROR(__xludf.DUMMYFUNCTION("IMPORTRANGE(""https://docs.google.com/spreadsheets/d/1SzxpZPUDnwxS8mSOLGEH5NbWU7ZW_VcRmIn7psOvuTs/edit#gid=1650312294?usp=sharing"",""1-12每月!$I7"")"),22966.0)</f>
        <v>22966</v>
      </c>
      <c r="O7" s="83">
        <f>IFERROR(__xludf.DUMMYFUNCTION("IMPORTRANGE(""https://docs.google.com/spreadsheets/d/1ta9i7cAkOPF0LapwmU_YEDA4IPQvKNuaYVMY8vIVPwI/edit#gid=1607741572?usp=sharing"",""1-12每月!$I7"")"),27710.0)</f>
        <v>27710</v>
      </c>
      <c r="P7" s="83">
        <f>IFERROR(__xludf.DUMMYFUNCTION("IMPORTRANGE(""https://docs.google.com/spreadsheets/d/1f4WWQfcNBonYqfzcaBhJlHzPwh34sx4U6naz-Aw2G4I/edit#gid=2097425894?usp=sharing"",""1-12每月!$I7"")"),20310.0)</f>
        <v>20310</v>
      </c>
      <c r="Q7" s="83">
        <f>IFERROR(__xludf.DUMMYFUNCTION("IMPORTRANGE(""https://docs.google.com/spreadsheets/d/1pCmmgCj7Y_SQPZLsiVd3yvND9oLyryVfBwNxC6OUwm8/edit#gid=170549058?usp=sharing"",""1-12每月!$I7"")"),41549.0)</f>
        <v>41549</v>
      </c>
      <c r="R7" s="83">
        <f>IFERROR(__xludf.DUMMYFUNCTION("IMPORTRANGE(""https://docs.google.com/spreadsheets/d/1hrRqxxacrLITR_JGMRVbhSRCIZIU8gAv0o_aOkHz68M/edit#gid=763155734?usp=sharing"",""1-12每月!$I7"")"),38569.0)</f>
        <v>38569</v>
      </c>
      <c r="S7" s="83">
        <f>IFERROR(__xludf.DUMMYFUNCTION("IMPORTRANGE(""https://docs.google.com/spreadsheets/d/1AKS3XWcgwNLFRbGU-lJ3UBHDQNdglvKwrv4_Bpp1IjU/edit#gid=73116376?usp=sharing"",""1-12每月!$H7"")"),14750.0)</f>
        <v>14750</v>
      </c>
      <c r="T7" s="83">
        <f>IFERROR(__xludf.DUMMYFUNCTION("IMPORTRANGE(""https://docs.google.com/spreadsheets/d/1wGGXGHkWT5JsjUDTy4FnHN_O9ae4MADbMykqIWVThNc/edit#gid=297806252?usp=sharing"",""1-12每月!$H7"")"),13070.0)</f>
        <v>13070</v>
      </c>
      <c r="U7" s="83">
        <f>IFERROR(__xludf.DUMMYFUNCTION("IMPORTRANGE(""https://docs.google.com/spreadsheets/d/1ShTgtQQDjMKpYx-TJ_lwdxnWSzJNUcNnzR3fJjoaZec/edit#gid=66107904?usp=sharing"",""1-12每月!$H7"")"),17573.0)</f>
        <v>17573</v>
      </c>
      <c r="V7" s="83">
        <f>IFERROR(__xludf.DUMMYFUNCTION("IMPORTRANGE(""https://docs.google.com/spreadsheets/d/1_eyuyKbXFCJd6fVFEKQwugwYCbRCmmWN_M7XR1dtOb8/edit#gid=951918895?usp=sharing"",""1-12每月!$H7"")"),20387.0)</f>
        <v>20387</v>
      </c>
      <c r="W7" s="83">
        <f>IFERROR(__xludf.DUMMYFUNCTION("IMPORTRANGE(""https://docs.google.com/spreadsheets/d/1yEpHI9_Y4w8sRmPP9C-mYK4NMfVuTJifGLMj4FMdqek/edit#gid=799087919?usp=sharing"",""1-12每月!$H7"")"),51541.0)</f>
        <v>51541</v>
      </c>
      <c r="X7" s="83">
        <f>IFERROR(__xludf.DUMMYFUNCTION("IMPORTRANGE(""https://docs.google.com/spreadsheets/d/1Vbyb9GlrY6jOwvoGyZFB96f7WXYjkT6gvTE37DPDXDI/edit#gid=9591526?usp=sharing"",""1-12每月!$H7"")"),59679.0)</f>
        <v>59679</v>
      </c>
      <c r="Y7" s="83">
        <f>IFERROR(__xludf.DUMMYFUNCTION("IMPORTRANGE(""https://docs.google.com/spreadsheets/d/1qeckoJwzWQAg8zQ80D-QJP4pnVYH6l2juaUyHtOu6y8/edit#gid=1905704096?usp=sharing"",""1-12每月!$H7"")"),114101.0)</f>
        <v>114101</v>
      </c>
      <c r="Z7" s="83">
        <f>IFERROR(__xludf.DUMMYFUNCTION("IMPORTRANGE(""https://docs.google.com/spreadsheets/d/1BcbIi7AD1VDpy_wMQ0YjCG-iuQy0_tkCVqr72a0Pwbg/edit#gid=1099513714?usp=sharing"",""1-12每月!$H7"")"),129744.0)</f>
        <v>129744</v>
      </c>
      <c r="AA7" s="83">
        <f>IFERROR(__xludf.DUMMYFUNCTION("IMPORTRANGE(""https://docs.google.com/spreadsheets/d/1cIFCQPaYiOmIt2O3vkEx5eto8sfRtx3JtAWJ1fv31HI/edit#gid=432689709?usp=sharing"",""1-12每月!$H7"")"),392116.0)</f>
        <v>392116</v>
      </c>
      <c r="AB7" s="83">
        <f>IFERROR(__xludf.DUMMYFUNCTION("IMPORTRANGE(""https://docs.google.com/spreadsheets/d/1C8ECYlbes2CJkHHGOAyOYVfrP7PdlGr8RMjK7KZd0_o/edit#gid=495469277?usp=sharing"",""1-12每月!$H7"")"),64523.0)</f>
        <v>64523</v>
      </c>
      <c r="AC7" s="83">
        <f>IFERROR(__xludf.DUMMYFUNCTION("IMPORTRANGE(""https://docs.google.com/spreadsheets/d/1ettcrhLPK6tkvHZxDTyU2bGIpGSi2ynG91ln0fqz9iE/edit#gid=1364213386?usp=sharing"",""1-12每月!$I7"")"),62342.0)</f>
        <v>62342</v>
      </c>
      <c r="AD7" s="83">
        <f>IFERROR(__xludf.DUMMYFUNCTION("IMPORTRANGE(""https://docs.google.com/spreadsheets/d/1xUhm-MtqzfUO8M5WEWVv9w2EFkv5_PHMOsAlA3CcCWU/edit#gid=1700470961?usp=sharing"",""1-12每月!$I7"")"),25020.0)</f>
        <v>25020</v>
      </c>
      <c r="AE7" s="83">
        <f>IFERROR(__xludf.DUMMYFUNCTION("IMPORTRANGE(""https://docs.google.com/spreadsheets/d/1DP8wl0QQLYSZ8R2aQ8wNmiAUXn7lVrqMsdTccpBmnQc/edit#gid=1145593933?usp=sharing"",""1-12每月!$I7"")"),21872.0)</f>
        <v>21872</v>
      </c>
      <c r="AF7" s="83">
        <f>IFERROR(__xludf.DUMMYFUNCTION("IMPORTRANGE(""https://docs.google.com/spreadsheets/d/17hbKAHrpKLEbG3r9s1Ay3fOGzvOBzSu3Bn_CD4JNLhY/edit#gid=756408948?usp=sharing"",""1-12每月!$I7"")"),31386.0)</f>
        <v>31386</v>
      </c>
      <c r="AG7" s="83">
        <f>IFERROR(__xludf.DUMMYFUNCTION("IMPORTRANGE(""https://docs.google.com/spreadsheets/d/1qeecSCKZ78ENQrsyUYpSNZqvo0-Y-uuGKFA1F06yLEM/edit#gid=874445072?usp=sharing"",""1-12每月!$I7"")"),8704.0)</f>
        <v>8704</v>
      </c>
      <c r="AH7" s="83">
        <f>IFERROR(__xludf.DUMMYFUNCTION("IMPORTRANGE(""https://docs.google.com/spreadsheets/d/1BSX0y1fIKw9-3VTr627UzGVjwKe74kwBkuFnvlaueNo/edit#gid=1113655470"",""1-12每月!$I7"")"),13509.0)</f>
        <v>13509</v>
      </c>
      <c r="AI7" s="83">
        <f>IFERROR(__xludf.DUMMYFUNCTION("IMPORTRANGE(""https://docs.google.com/spreadsheets/d/1bQzlrSGiVqBrfQ6FKnw67vhBELFgthonryGzmQabVFQ/edit#gid=1015697053?usp=sharing"",""1-12每月!$I7"")"),8598.0)</f>
        <v>8598</v>
      </c>
      <c r="AJ7" s="83">
        <f>IFERROR(__xludf.DUMMYFUNCTION("IMPORTRANGE(""https://docs.google.com/spreadsheets/d/1Pem-mgCz4CF6EUKNVxDQx16g9jie0F5YNDQ_cPnMHYs"",""1-12每月!$I7"")"),9305.0)</f>
        <v>9305</v>
      </c>
      <c r="AK7" s="83">
        <f>IFERROR(__xludf.DUMMYFUNCTION("IMPORTRANGE(""https://docs.google.com/spreadsheets/d/1ZoRtUl0m9T3TpY8H-9-ntNBO_zrYrgNKuAe_XfTeFnU"",""1-12每月!$I7"")"),27973.0)</f>
        <v>27973</v>
      </c>
      <c r="AL7" s="83">
        <f>IFERROR(__xludf.DUMMYFUNCTION("IMPORTRANGE(""https://docs.google.com/spreadsheets/d/1Y9Uv46r1nA3ixCGwTWZqhGQWDt4KVX4iXmhJgHL5CGQ"",""1-12每月!$I7"")"),34021.0)</f>
        <v>34021</v>
      </c>
      <c r="AM7" s="114">
        <f>IFERROR(__xludf.DUMMYFUNCTION("IMPORTRANGE(""https://docs.google.com/spreadsheets/d/1E3X732-CKfouAVQOwKyrePWwI1Bwg9NHD0VD42lyiu4/edit?gid=1513765949#gid=1513765949"",""1-12每月!$I7"")"),13870.0)</f>
        <v>13870</v>
      </c>
      <c r="AN7" s="114"/>
      <c r="AO7" s="114"/>
      <c r="AP7" s="114"/>
      <c r="AQ7" s="114"/>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IFERROR(__xludf.DUMMYFUNCTION("IMPORTRANGE(""https://docs.google.com/spreadsheets/d/1dffLfsI-BGVz-K0zdrsWfGaqrFfoLJAhq001merp6Rk/edit?usp=sharing"",""1-12每月!$I8"")"),35736.0)</f>
        <v>35736</v>
      </c>
      <c r="N8" s="83">
        <f>IFERROR(__xludf.DUMMYFUNCTION("IMPORTRANGE(""https://docs.google.com/spreadsheets/d/1SzxpZPUDnwxS8mSOLGEH5NbWU7ZW_VcRmIn7psOvuTs/edit#gid=1650312294?usp=sharing"",""1-12每月!$I8"")"),24830.0)</f>
        <v>24830</v>
      </c>
      <c r="O8" s="83">
        <f>IFERROR(__xludf.DUMMYFUNCTION("IMPORTRANGE(""https://docs.google.com/spreadsheets/d/1ta9i7cAkOPF0LapwmU_YEDA4IPQvKNuaYVMY8vIVPwI/edit#gid=1607741572?usp=sharing"",""1-12每月!$I8"")"),17381.0)</f>
        <v>17381</v>
      </c>
      <c r="P8" s="83">
        <f>IFERROR(__xludf.DUMMYFUNCTION("IMPORTRANGE(""https://docs.google.com/spreadsheets/d/1f4WWQfcNBonYqfzcaBhJlHzPwh34sx4U6naz-Aw2G4I/edit#gid=2097425894?usp=sharing"",""1-12每月!$I8"")"),18574.0)</f>
        <v>18574</v>
      </c>
      <c r="Q8" s="83">
        <f>IFERROR(__xludf.DUMMYFUNCTION("IMPORTRANGE(""https://docs.google.com/spreadsheets/d/1pCmmgCj7Y_SQPZLsiVd3yvND9oLyryVfBwNxC6OUwm8/edit#gid=170549058?usp=sharing"",""1-12每月!$I8"")"),43627.0)</f>
        <v>43627</v>
      </c>
      <c r="R8" s="83">
        <f>IFERROR(__xludf.DUMMYFUNCTION("IMPORTRANGE(""https://docs.google.com/spreadsheets/d/1hrRqxxacrLITR_JGMRVbhSRCIZIU8gAv0o_aOkHz68M/edit#gid=763155734?usp=sharing"",""1-12每月!$I8"")"),45189.0)</f>
        <v>45189</v>
      </c>
      <c r="S8" s="83">
        <f>IFERROR(__xludf.DUMMYFUNCTION("IMPORTRANGE(""https://docs.google.com/spreadsheets/d/1AKS3XWcgwNLFRbGU-lJ3UBHDQNdglvKwrv4_Bpp1IjU/edit#gid=73116376?usp=sharing"",""1-12每月!$H8"")"),41137.0)</f>
        <v>41137</v>
      </c>
      <c r="T8" s="83">
        <f>IFERROR(__xludf.DUMMYFUNCTION("IMPORTRANGE(""https://docs.google.com/spreadsheets/d/1wGGXGHkWT5JsjUDTy4FnHN_O9ae4MADbMykqIWVThNc/edit#gid=297806252?usp=sharing"",""1-12每月!$H8"")"),20744.0)</f>
        <v>20744</v>
      </c>
      <c r="U8" s="83">
        <f>IFERROR(__xludf.DUMMYFUNCTION("IMPORTRANGE(""https://docs.google.com/spreadsheets/d/1ShTgtQQDjMKpYx-TJ_lwdxnWSzJNUcNnzR3fJjoaZec/edit#gid=66107904?usp=sharing"",""1-12每月!$H8"")"),21938.0)</f>
        <v>21938</v>
      </c>
      <c r="V8" s="83">
        <f>IFERROR(__xludf.DUMMYFUNCTION("IMPORTRANGE(""https://docs.google.com/spreadsheets/d/1_eyuyKbXFCJd6fVFEKQwugwYCbRCmmWN_M7XR1dtOb8/edit#gid=951918895?usp=sharing"",""1-12每月!$H8"")"),26774.0)</f>
        <v>26774</v>
      </c>
      <c r="W8" s="83">
        <f>IFERROR(__xludf.DUMMYFUNCTION("IMPORTRANGE(""https://docs.google.com/spreadsheets/d/1yEpHI9_Y4w8sRmPP9C-mYK4NMfVuTJifGLMj4FMdqek/edit#gid=799087919?usp=sharing"",""1-12每月!$H8"")"),53113.0)</f>
        <v>53113</v>
      </c>
      <c r="X8" s="83">
        <f>IFERROR(__xludf.DUMMYFUNCTION("IMPORTRANGE(""https://docs.google.com/spreadsheets/d/1Vbyb9GlrY6jOwvoGyZFB96f7WXYjkT6gvTE37DPDXDI/edit#gid=9591526?usp=sharing"",""1-12每月!$H8"")"),77848.0)</f>
        <v>77848</v>
      </c>
      <c r="Y8" s="83">
        <f>IFERROR(__xludf.DUMMYFUNCTION("IMPORTRANGE(""https://docs.google.com/spreadsheets/d/1qeckoJwzWQAg8zQ80D-QJP4pnVYH6l2juaUyHtOu6y8/edit#gid=1905704096?usp=sharing"",""1-12每月!$H8"")"),126230.0)</f>
        <v>126230</v>
      </c>
      <c r="Z8" s="83">
        <f>IFERROR(__xludf.DUMMYFUNCTION("IMPORTRANGE(""https://docs.google.com/spreadsheets/d/1BcbIi7AD1VDpy_wMQ0YjCG-iuQy0_tkCVqr72a0Pwbg/edit#gid=1099513714?usp=sharing"",""1-12每月!$H8"")"),157176.0)</f>
        <v>157176</v>
      </c>
      <c r="AA8" s="83">
        <f>IFERROR(__xludf.DUMMYFUNCTION("IMPORTRANGE(""https://docs.google.com/spreadsheets/d/1cIFCQPaYiOmIt2O3vkEx5eto8sfRtx3JtAWJ1fv31HI/edit#gid=432689709?usp=sharing"",""1-12每月!$H8"")"),387060.0)</f>
        <v>387060</v>
      </c>
      <c r="AB8" s="83">
        <f>IFERROR(__xludf.DUMMYFUNCTION("IMPORTRANGE(""https://docs.google.com/spreadsheets/d/1C8ECYlbes2CJkHHGOAyOYVfrP7PdlGr8RMjK7KZd0_o/edit#gid=495469277?usp=sharing"",""1-12每月!$H8"")"),72808.0)</f>
        <v>72808</v>
      </c>
      <c r="AC8" s="83">
        <f>IFERROR(__xludf.DUMMYFUNCTION("IMPORTRANGE(""https://docs.google.com/spreadsheets/d/1ettcrhLPK6tkvHZxDTyU2bGIpGSi2ynG91ln0fqz9iE/edit#gid=1364213386?usp=sharing"",""1-12每月!$I8"")"),60677.0)</f>
        <v>60677</v>
      </c>
      <c r="AD8" s="83">
        <f>IFERROR(__xludf.DUMMYFUNCTION("IMPORTRANGE(""https://docs.google.com/spreadsheets/d/1xUhm-MtqzfUO8M5WEWVv9w2EFkv5_PHMOsAlA3CcCWU/edit#gid=1700470961?usp=sharing"",""1-12每月!$I8"")"),30702.0)</f>
        <v>30702</v>
      </c>
      <c r="AE8" s="83">
        <f>IFERROR(__xludf.DUMMYFUNCTION("IMPORTRANGE(""https://docs.google.com/spreadsheets/d/1DP8wl0QQLYSZ8R2aQ8wNmiAUXn7lVrqMsdTccpBmnQc/edit#gid=1145593933?usp=sharing"",""1-12每月!$I8"")"),30864.0)</f>
        <v>30864</v>
      </c>
      <c r="AF8" s="83">
        <f>IFERROR(__xludf.DUMMYFUNCTION("IMPORTRANGE(""https://docs.google.com/spreadsheets/d/17hbKAHrpKLEbG3r9s1Ay3fOGzvOBzSu3Bn_CD4JNLhY/edit#gid=756408948?usp=sharing"",""1-12每月!$I8"")"),30868.0)</f>
        <v>30868</v>
      </c>
      <c r="AG8" s="83">
        <f>IFERROR(__xludf.DUMMYFUNCTION("IMPORTRANGE(""https://docs.google.com/spreadsheets/d/1qeecSCKZ78ENQrsyUYpSNZqvo0-Y-uuGKFA1F06yLEM/edit#gid=874445072?usp=sharing"",""1-12每月!$I8"")"),8611.0)</f>
        <v>8611</v>
      </c>
      <c r="AH8" s="83">
        <f>IFERROR(__xludf.DUMMYFUNCTION("IMPORTRANGE(""https://docs.google.com/spreadsheets/d/1BSX0y1fIKw9-3VTr627UzGVjwKe74kwBkuFnvlaueNo/edit#gid=1113655470"",""1-12每月!$I8"")"),14326.0)</f>
        <v>14326</v>
      </c>
      <c r="AI8" s="83">
        <f>IFERROR(__xludf.DUMMYFUNCTION("IMPORTRANGE(""https://docs.google.com/spreadsheets/d/1bQzlrSGiVqBrfQ6FKnw67vhBELFgthonryGzmQabVFQ/edit#gid=1015697053?usp=sharing"",""1-12每月!$I8"")"),9126.0)</f>
        <v>9126</v>
      </c>
      <c r="AJ8" s="83">
        <f>IFERROR(__xludf.DUMMYFUNCTION("IMPORTRANGE(""https://docs.google.com/spreadsheets/d/1Pem-mgCz4CF6EUKNVxDQx16g9jie0F5YNDQ_cPnMHYs"",""1-12每月!$I8"")"),18548.0)</f>
        <v>18548</v>
      </c>
      <c r="AK8" s="83">
        <f>IFERROR(__xludf.DUMMYFUNCTION("IMPORTRANGE(""https://docs.google.com/spreadsheets/d/1ZoRtUl0m9T3TpY8H-9-ntNBO_zrYrgNKuAe_XfTeFnU"",""1-12每月!$I8"")"),15246.0)</f>
        <v>15246</v>
      </c>
      <c r="AL8" s="83">
        <f>IFERROR(__xludf.DUMMYFUNCTION("IMPORTRANGE(""https://docs.google.com/spreadsheets/d/1Y9Uv46r1nA3ixCGwTWZqhGQWDt4KVX4iXmhJgHL5CGQ"",""1-12每月!$I8"")"),34874.0)</f>
        <v>34874</v>
      </c>
      <c r="AM8" s="114">
        <f>IFERROR(__xludf.DUMMYFUNCTION("IMPORTRANGE(""https://docs.google.com/spreadsheets/d/1E3X732-CKfouAVQOwKyrePWwI1Bwg9NHD0VD42lyiu4/edit?gid=1513765949#gid=1513765949"",""1-12每月!$I8"")"),17204.0)</f>
        <v>17204</v>
      </c>
      <c r="AN8" s="114"/>
      <c r="AO8" s="114"/>
      <c r="AP8" s="114"/>
      <c r="AQ8" s="114"/>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IFERROR(__xludf.DUMMYFUNCTION("IMPORTRANGE(""https://docs.google.com/spreadsheets/d/1dffLfsI-BGVz-K0zdrsWfGaqrFfoLJAhq001merp6Rk/edit?usp=sharing"",""1-12每月!$I9"")"),19135.0)</f>
        <v>19135</v>
      </c>
      <c r="N9" s="83">
        <f>IFERROR(__xludf.DUMMYFUNCTION("IMPORTRANGE(""https://docs.google.com/spreadsheets/d/1SzxpZPUDnwxS8mSOLGEH5NbWU7ZW_VcRmIn7psOvuTs/edit#gid=1650312294?usp=sharing"",""1-12每月!$I9"")"),27815.0)</f>
        <v>27815</v>
      </c>
      <c r="O9" s="83">
        <f>IFERROR(__xludf.DUMMYFUNCTION("IMPORTRANGE(""https://docs.google.com/spreadsheets/d/1ta9i7cAkOPF0LapwmU_YEDA4IPQvKNuaYVMY8vIVPwI/edit#gid=1607741572?usp=sharing"",""1-12每月!$I9"")"),19470.0)</f>
        <v>19470</v>
      </c>
      <c r="P9" s="83">
        <f>IFERROR(__xludf.DUMMYFUNCTION("IMPORTRANGE(""https://docs.google.com/spreadsheets/d/1f4WWQfcNBonYqfzcaBhJlHzPwh34sx4U6naz-Aw2G4I/edit#gid=2097425894?usp=sharing"",""1-12每月!$I9"")"),5672.0)</f>
        <v>5672</v>
      </c>
      <c r="Q9" s="83">
        <f>IFERROR(__xludf.DUMMYFUNCTION("IMPORTRANGE(""https://docs.google.com/spreadsheets/d/1pCmmgCj7Y_SQPZLsiVd3yvND9oLyryVfBwNxC6OUwm8/edit#gid=170549058?usp=sharing"",""1-12每月!$I9"")"),35296.0)</f>
        <v>35296</v>
      </c>
      <c r="R9" s="83">
        <f>IFERROR(__xludf.DUMMYFUNCTION("IMPORTRANGE(""https://docs.google.com/spreadsheets/d/1hrRqxxacrLITR_JGMRVbhSRCIZIU8gAv0o_aOkHz68M/edit#gid=763155734?usp=sharing"",""1-12每月!$I9"")"),24991.0)</f>
        <v>24991</v>
      </c>
      <c r="S9" s="83">
        <f>IFERROR(__xludf.DUMMYFUNCTION("IMPORTRANGE(""https://docs.google.com/spreadsheets/d/1AKS3XWcgwNLFRbGU-lJ3UBHDQNdglvKwrv4_Bpp1IjU/edit#gid=73116376?usp=sharing"",""1-12每月!$H9"")"),36238.0)</f>
        <v>36238</v>
      </c>
      <c r="T9" s="83">
        <f>IFERROR(__xludf.DUMMYFUNCTION("IMPORTRANGE(""https://docs.google.com/spreadsheets/d/1wGGXGHkWT5JsjUDTy4FnHN_O9ae4MADbMykqIWVThNc/edit#gid=297806252?usp=sharing"",""1-12每月!$H9"")"),21489.0)</f>
        <v>21489</v>
      </c>
      <c r="U9" s="83">
        <f>IFERROR(__xludf.DUMMYFUNCTION("IMPORTRANGE(""https://docs.google.com/spreadsheets/d/1ShTgtQQDjMKpYx-TJ_lwdxnWSzJNUcNnzR3fJjoaZec/edit#gid=66107904?usp=sharing"",""1-12每月!$H9"")"),26499.0)</f>
        <v>26499</v>
      </c>
      <c r="V9" s="83">
        <f>IFERROR(__xludf.DUMMYFUNCTION("IMPORTRANGE(""https://docs.google.com/spreadsheets/d/1_eyuyKbXFCJd6fVFEKQwugwYCbRCmmWN_M7XR1dtOb8/edit#gid=951918895?usp=sharing"",""1-12每月!$H9"")"),47803.0)</f>
        <v>47803</v>
      </c>
      <c r="W9" s="83">
        <f>IFERROR(__xludf.DUMMYFUNCTION("IMPORTRANGE(""https://docs.google.com/spreadsheets/d/1yEpHI9_Y4w8sRmPP9C-mYK4NMfVuTJifGLMj4FMdqek/edit#gid=799087919?usp=sharing"",""1-12每月!$H9"")"),66006.0)</f>
        <v>66006</v>
      </c>
      <c r="X9" s="83">
        <f>IFERROR(__xludf.DUMMYFUNCTION("IMPORTRANGE(""https://docs.google.com/spreadsheets/d/1Vbyb9GlrY6jOwvoGyZFB96f7WXYjkT6gvTE37DPDXDI/edit#gid=9591526?usp=sharing"",""1-12每月!$H9"")"),58656.0)</f>
        <v>58656</v>
      </c>
      <c r="Y9" s="83">
        <f>IFERROR(__xludf.DUMMYFUNCTION("IMPORTRANGE(""https://docs.google.com/spreadsheets/d/1qeckoJwzWQAg8zQ80D-QJP4pnVYH6l2juaUyHtOu6y8/edit#gid=1905704096?usp=sharing"",""1-12每月!$H9"")"),76656.0)</f>
        <v>76656</v>
      </c>
      <c r="Z9" s="83">
        <f>IFERROR(__xludf.DUMMYFUNCTION("IMPORTRANGE(""https://docs.google.com/spreadsheets/d/1BcbIi7AD1VDpy_wMQ0YjCG-iuQy0_tkCVqr72a0Pwbg/edit#gid=1099513714?usp=sharing"",""1-12每月!$H9"")"),86206.0)</f>
        <v>86206</v>
      </c>
      <c r="AA9" s="83">
        <f>IFERROR(__xludf.DUMMYFUNCTION("IMPORTRANGE(""https://docs.google.com/spreadsheets/d/1cIFCQPaYiOmIt2O3vkEx5eto8sfRtx3JtAWJ1fv31HI/edit#gid=432689709?usp=sharing"",""1-12每月!$H9"")"),375468.0)</f>
        <v>375468</v>
      </c>
      <c r="AB9" s="83">
        <f>IFERROR(__xludf.DUMMYFUNCTION("IMPORTRANGE(""https://docs.google.com/spreadsheets/d/1C8ECYlbes2CJkHHGOAyOYVfrP7PdlGr8RMjK7KZd0_o/edit#gid=495469277?usp=sharing"",""1-12每月!$H9"")"),71275.0)</f>
        <v>71275</v>
      </c>
      <c r="AC9" s="83">
        <f>IFERROR(__xludf.DUMMYFUNCTION("IMPORTRANGE(""https://docs.google.com/spreadsheets/d/1ettcrhLPK6tkvHZxDTyU2bGIpGSi2ynG91ln0fqz9iE/edit#gid=1364213386?usp=sharing"",""1-12每月!$I9"")"),43759.0)</f>
        <v>43759</v>
      </c>
      <c r="AD9" s="83">
        <f>IFERROR(__xludf.DUMMYFUNCTION("IMPORTRANGE(""https://docs.google.com/spreadsheets/d/1xUhm-MtqzfUO8M5WEWVv9w2EFkv5_PHMOsAlA3CcCWU/edit#gid=1700470961?usp=sharing"",""1-12每月!$I9"")"),27738.0)</f>
        <v>27738</v>
      </c>
      <c r="AE9" s="83">
        <f>IFERROR(__xludf.DUMMYFUNCTION("IMPORTRANGE(""https://docs.google.com/spreadsheets/d/1DP8wl0QQLYSZ8R2aQ8wNmiAUXn7lVrqMsdTccpBmnQc/edit#gid=1145593933?usp=sharing"",""1-12每月!$I9"")"),23204.0)</f>
        <v>23204</v>
      </c>
      <c r="AF9" s="83">
        <f>IFERROR(__xludf.DUMMYFUNCTION("IMPORTRANGE(""https://docs.google.com/spreadsheets/d/17hbKAHrpKLEbG3r9s1Ay3fOGzvOBzSu3Bn_CD4JNLhY/edit#gid=756408948?usp=sharing"",""1-12每月!$I9"")"),29015.0)</f>
        <v>29015</v>
      </c>
      <c r="AG9" s="83">
        <f>IFERROR(__xludf.DUMMYFUNCTION("IMPORTRANGE(""https://docs.google.com/spreadsheets/d/1qeecSCKZ78ENQrsyUYpSNZqvo0-Y-uuGKFA1F06yLEM/edit#gid=874445072?usp=sharing"",""1-12每月!$I9"")"),10066.0)</f>
        <v>10066</v>
      </c>
      <c r="AH9" s="83">
        <f>IFERROR(__xludf.DUMMYFUNCTION("IMPORTRANGE(""https://docs.google.com/spreadsheets/d/1BSX0y1fIKw9-3VTr627UzGVjwKe74kwBkuFnvlaueNo/edit#gid=1113655470"",""1-12每月!$I9"")"),6877.0)</f>
        <v>6877</v>
      </c>
      <c r="AI9" s="83">
        <f>IFERROR(__xludf.DUMMYFUNCTION("IMPORTRANGE(""https://docs.google.com/spreadsheets/d/1bQzlrSGiVqBrfQ6FKnw67vhBELFgthonryGzmQabVFQ/edit#gid=1015697053?usp=sharing"",""1-12每月!$I9"")"),4311.0)</f>
        <v>4311</v>
      </c>
      <c r="AJ9" s="83">
        <f>IFERROR(__xludf.DUMMYFUNCTION("IMPORTRANGE(""https://docs.google.com/spreadsheets/d/1Pem-mgCz4CF6EUKNVxDQx16g9jie0F5YNDQ_cPnMHYs"",""1-12每月!$I9"")"),11618.0)</f>
        <v>11618</v>
      </c>
      <c r="AK9" s="83">
        <f>IFERROR(__xludf.DUMMYFUNCTION("IMPORTRANGE(""https://docs.google.com/spreadsheets/d/1ZoRtUl0m9T3TpY8H-9-ntNBO_zrYrgNKuAe_XfTeFnU"",""1-12每月!$I9"")"),17056.0)</f>
        <v>17056</v>
      </c>
      <c r="AL9" s="83">
        <f>IFERROR(__xludf.DUMMYFUNCTION("IMPORTRANGE(""https://docs.google.com/spreadsheets/d/1Y9Uv46r1nA3ixCGwTWZqhGQWDt4KVX4iXmhJgHL5CGQ"",""1-12每月!$I9"")"),30545.0)</f>
        <v>30545</v>
      </c>
      <c r="AM9" s="114">
        <f>IFERROR(__xludf.DUMMYFUNCTION("IMPORTRANGE(""https://docs.google.com/spreadsheets/d/1E3X732-CKfouAVQOwKyrePWwI1Bwg9NHD0VD42lyiu4/edit?gid=1513765949#gid=1513765949"",""1-12每月!$I9"")"),16748.0)</f>
        <v>16748</v>
      </c>
      <c r="AN9" s="114"/>
      <c r="AO9" s="114"/>
      <c r="AP9" s="114"/>
      <c r="AQ9" s="114"/>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IFERROR(__xludf.DUMMYFUNCTION("IMPORTRANGE(""https://docs.google.com/spreadsheets/d/1dffLfsI-BGVz-K0zdrsWfGaqrFfoLJAhq001merp6Rk/edit?usp=sharing"",""1-12每月!$I10"")"),22019.0)</f>
        <v>22019</v>
      </c>
      <c r="N10" s="83">
        <f>IFERROR(__xludf.DUMMYFUNCTION("IMPORTRANGE(""https://docs.google.com/spreadsheets/d/1SzxpZPUDnwxS8mSOLGEH5NbWU7ZW_VcRmIn7psOvuTs/edit#gid=1650312294?usp=sharing"",""1-12每月!$I10"")"),29657.0)</f>
        <v>29657</v>
      </c>
      <c r="O10" s="83">
        <f>IFERROR(__xludf.DUMMYFUNCTION("IMPORTRANGE(""https://docs.google.com/spreadsheets/d/1ta9i7cAkOPF0LapwmU_YEDA4IPQvKNuaYVMY8vIVPwI/edit#gid=1607741572?usp=sharing"",""1-12每月!$I10"")"),17794.0)</f>
        <v>17794</v>
      </c>
      <c r="P10" s="83">
        <f>IFERROR(__xludf.DUMMYFUNCTION("IMPORTRANGE(""https://docs.google.com/spreadsheets/d/1f4WWQfcNBonYqfzcaBhJlHzPwh34sx4U6naz-Aw2G4I/edit#gid=2097425894?usp=sharing"",""1-12每月!$I10"")"),15326.0)</f>
        <v>15326</v>
      </c>
      <c r="Q10" s="83">
        <f>IFERROR(__xludf.DUMMYFUNCTION("IMPORTRANGE(""https://docs.google.com/spreadsheets/d/1pCmmgCj7Y_SQPZLsiVd3yvND9oLyryVfBwNxC6OUwm8/edit#gid=170549058?usp=sharing"",""1-12每月!$I10"")"),53926.0)</f>
        <v>53926</v>
      </c>
      <c r="R10" s="83">
        <f>IFERROR(__xludf.DUMMYFUNCTION("IMPORTRANGE(""https://docs.google.com/spreadsheets/d/1hrRqxxacrLITR_JGMRVbhSRCIZIU8gAv0o_aOkHz68M/edit#gid=763155734?usp=sharing"",""1-12每月!$I10"")"),69545.0)</f>
        <v>69545</v>
      </c>
      <c r="S10" s="83">
        <f>IFERROR(__xludf.DUMMYFUNCTION("IMPORTRANGE(""https://docs.google.com/spreadsheets/d/1AKS3XWcgwNLFRbGU-lJ3UBHDQNdglvKwrv4_Bpp1IjU/edit#gid=73116376?usp=sharing"",""1-12每月!$H10"")"),30508.0)</f>
        <v>30508</v>
      </c>
      <c r="T10" s="83">
        <f>IFERROR(__xludf.DUMMYFUNCTION("IMPORTRANGE(""https://docs.google.com/spreadsheets/d/1wGGXGHkWT5JsjUDTy4FnHN_O9ae4MADbMykqIWVThNc/edit#gid=297806252?usp=sharing"",""1-12每月!$H10"")"),21879.0)</f>
        <v>21879</v>
      </c>
      <c r="U10" s="83">
        <f>IFERROR(__xludf.DUMMYFUNCTION("IMPORTRANGE(""https://docs.google.com/spreadsheets/d/1ShTgtQQDjMKpYx-TJ_lwdxnWSzJNUcNnzR3fJjoaZec/edit#gid=66107904?usp=sharing"",""1-12每月!$H10"")"),19517.0)</f>
        <v>19517</v>
      </c>
      <c r="V10" s="83">
        <f>IFERROR(__xludf.DUMMYFUNCTION("IMPORTRANGE(""https://docs.google.com/spreadsheets/d/1_eyuyKbXFCJd6fVFEKQwugwYCbRCmmWN_M7XR1dtOb8/edit#gid=951918895?usp=sharing"",""1-12每月!$H10"")"),35596.0)</f>
        <v>35596</v>
      </c>
      <c r="W10" s="83">
        <f>IFERROR(__xludf.DUMMYFUNCTION("IMPORTRANGE(""https://docs.google.com/spreadsheets/d/1yEpHI9_Y4w8sRmPP9C-mYK4NMfVuTJifGLMj4FMdqek/edit#gid=799087919?usp=sharing"",""1-12每月!$H10"")"),60341.0)</f>
        <v>60341</v>
      </c>
      <c r="X10" s="83">
        <f>IFERROR(__xludf.DUMMYFUNCTION("IMPORTRANGE(""https://docs.google.com/spreadsheets/d/1Vbyb9GlrY6jOwvoGyZFB96f7WXYjkT6gvTE37DPDXDI/edit#gid=9591526?usp=sharing"",""1-12每月!$H10"")"),51673.0)</f>
        <v>51673</v>
      </c>
      <c r="Y10" s="83">
        <f>IFERROR(__xludf.DUMMYFUNCTION("IMPORTRANGE(""https://docs.google.com/spreadsheets/d/1qeckoJwzWQAg8zQ80D-QJP4pnVYH6l2juaUyHtOu6y8/edit#gid=1905704096?usp=sharing"",""1-12每月!$H10"")"),62364.0)</f>
        <v>62364</v>
      </c>
      <c r="Z10" s="83">
        <f>IFERROR(__xludf.DUMMYFUNCTION("IMPORTRANGE(""https://docs.google.com/spreadsheets/d/1BcbIi7AD1VDpy_wMQ0YjCG-iuQy0_tkCVqr72a0Pwbg/edit#gid=1099513714?usp=sharing"",""1-12每月!$H10"")"),119463.0)</f>
        <v>119463</v>
      </c>
      <c r="AA10" s="83">
        <f>IFERROR(__xludf.DUMMYFUNCTION("IMPORTRANGE(""https://docs.google.com/spreadsheets/d/1cIFCQPaYiOmIt2O3vkEx5eto8sfRtx3JtAWJ1fv31HI/edit#gid=432689709?usp=sharing"",""1-12每月!$H10"")"),278945.0)</f>
        <v>278945</v>
      </c>
      <c r="AB10" s="83">
        <f>IFERROR(__xludf.DUMMYFUNCTION("IMPORTRANGE(""https://docs.google.com/spreadsheets/d/1C8ECYlbes2CJkHHGOAyOYVfrP7PdlGr8RMjK7KZd0_o/edit#gid=495469277?usp=sharing"",""1-12每月!$H10"")"),56055.0)</f>
        <v>56055</v>
      </c>
      <c r="AC10" s="83">
        <f>IFERROR(__xludf.DUMMYFUNCTION("IMPORTRANGE(""https://docs.google.com/spreadsheets/d/1ettcrhLPK6tkvHZxDTyU2bGIpGSi2ynG91ln0fqz9iE/edit#gid=1364213386?usp=sharing"",""1-12每月!$I10"")"),42259.0)</f>
        <v>42259</v>
      </c>
      <c r="AD10" s="83">
        <f>IFERROR(__xludf.DUMMYFUNCTION("IMPORTRANGE(""https://docs.google.com/spreadsheets/d/1xUhm-MtqzfUO8M5WEWVv9w2EFkv5_PHMOsAlA3CcCWU/edit#gid=1700470961?usp=sharing"",""1-12每月!$I10"")"),20953.0)</f>
        <v>20953</v>
      </c>
      <c r="AE10" s="83">
        <f>IFERROR(__xludf.DUMMYFUNCTION("IMPORTRANGE(""https://docs.google.com/spreadsheets/d/1DP8wl0QQLYSZ8R2aQ8wNmiAUXn7lVrqMsdTccpBmnQc/edit#gid=1145593933?usp=sharing"",""1-12每月!$I10"")"),22227.87)</f>
        <v>22227.87</v>
      </c>
      <c r="AF10" s="83">
        <f>IFERROR(__xludf.DUMMYFUNCTION("IMPORTRANGE(""https://docs.google.com/spreadsheets/d/17hbKAHrpKLEbG3r9s1Ay3fOGzvOBzSu3Bn_CD4JNLhY/edit#gid=756408948?usp=sharing"",""1-12每月!$I10"")"),24672.0)</f>
        <v>24672</v>
      </c>
      <c r="AG10" s="83">
        <f>IFERROR(__xludf.DUMMYFUNCTION("IMPORTRANGE(""https://docs.google.com/spreadsheets/d/1qeecSCKZ78ENQrsyUYpSNZqvo0-Y-uuGKFA1F06yLEM/edit#gid=874445072?usp=sharing"",""1-12每月!$I10"")"),18317.0)</f>
        <v>18317</v>
      </c>
      <c r="AH10" s="83">
        <f>IFERROR(__xludf.DUMMYFUNCTION("IMPORTRANGE(""https://docs.google.com/spreadsheets/d/1BSX0y1fIKw9-3VTr627UzGVjwKe74kwBkuFnvlaueNo/edit#gid=1113655470"",""1-12每月!$I10"")"),0.0)</f>
        <v>0</v>
      </c>
      <c r="AI10" s="83">
        <f>IFERROR(__xludf.DUMMYFUNCTION("IMPORTRANGE(""https://docs.google.com/spreadsheets/d/1bQzlrSGiVqBrfQ6FKnw67vhBELFgthonryGzmQabVFQ/edit#gid=1015697053?usp=sharing"",""1-12每月!$I10"")"),8330.0)</f>
        <v>8330</v>
      </c>
      <c r="AJ10" s="83">
        <f>IFERROR(__xludf.DUMMYFUNCTION("IMPORTRANGE(""https://docs.google.com/spreadsheets/d/1Pem-mgCz4CF6EUKNVxDQx16g9jie0F5YNDQ_cPnMHYs"",""1-12每月!$I10"")"),17312.0)</f>
        <v>17312</v>
      </c>
      <c r="AK10" s="83">
        <f>IFERROR(__xludf.DUMMYFUNCTION("IMPORTRANGE(""https://docs.google.com/spreadsheets/d/1ZoRtUl0m9T3TpY8H-9-ntNBO_zrYrgNKuAe_XfTeFnU"",""1-12每月!$I10"")"),22700.0)</f>
        <v>22700</v>
      </c>
      <c r="AL10" s="83">
        <f>IFERROR(__xludf.DUMMYFUNCTION("IMPORTRANGE(""https://docs.google.com/spreadsheets/d/1Y9Uv46r1nA3ixCGwTWZqhGQWDt4KVX4iXmhJgHL5CGQ"",""1-12每月!$I10"")"),27957.0)</f>
        <v>27957</v>
      </c>
      <c r="AM10" s="114">
        <f>IFERROR(__xludf.DUMMYFUNCTION("IMPORTRANGE(""https://docs.google.com/spreadsheets/d/1E3X732-CKfouAVQOwKyrePWwI1Bwg9NHD0VD42lyiu4/edit?gid=1513765949#gid=1513765949"",""1-12每月!$I10"")"),18716.0)</f>
        <v>18716</v>
      </c>
      <c r="AN10" s="115"/>
      <c r="AO10" s="115"/>
      <c r="AP10" s="115"/>
      <c r="AQ10" s="115"/>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IFERROR(__xludf.DUMMYFUNCTION("IMPORTRANGE(""https://docs.google.com/spreadsheets/d/1dffLfsI-BGVz-K0zdrsWfGaqrFfoLJAhq001merp6Rk/edit?usp=sharing"",""1-12每月!$I11"")"),37278.0)</f>
        <v>37278</v>
      </c>
      <c r="N11" s="83">
        <f>IFERROR(__xludf.DUMMYFUNCTION("IMPORTRANGE(""https://docs.google.com/spreadsheets/d/1SzxpZPUDnwxS8mSOLGEH5NbWU7ZW_VcRmIn7psOvuTs/edit#gid=1650312294?usp=sharing"",""1-12每月!$I11"")"),27500.0)</f>
        <v>27500</v>
      </c>
      <c r="O11" s="83">
        <f>IFERROR(__xludf.DUMMYFUNCTION("IMPORTRANGE(""https://docs.google.com/spreadsheets/d/1ta9i7cAkOPF0LapwmU_YEDA4IPQvKNuaYVMY8vIVPwI/edit#gid=1607741572?usp=sharing"",""1-12每月!$I11"")"),28363.0)</f>
        <v>28363</v>
      </c>
      <c r="P11" s="83">
        <f>IFERROR(__xludf.DUMMYFUNCTION("IMPORTRANGE(""https://docs.google.com/spreadsheets/d/1f4WWQfcNBonYqfzcaBhJlHzPwh34sx4U6naz-Aw2G4I/edit#gid=2097425894?usp=sharing"",""1-12每月!$I11"")"),9252.0)</f>
        <v>9252</v>
      </c>
      <c r="Q11" s="83">
        <f>IFERROR(__xludf.DUMMYFUNCTION("IMPORTRANGE(""https://docs.google.com/spreadsheets/d/1pCmmgCj7Y_SQPZLsiVd3yvND9oLyryVfBwNxC6OUwm8/edit#gid=170549058?usp=sharing"",""1-12每月!$I11"")"),56651.0)</f>
        <v>56651</v>
      </c>
      <c r="R11" s="83">
        <f>IFERROR(__xludf.DUMMYFUNCTION("IMPORTRANGE(""https://docs.google.com/spreadsheets/d/1hrRqxxacrLITR_JGMRVbhSRCIZIU8gAv0o_aOkHz68M/edit#gid=763155734?usp=sharing"",""1-12每月!$I11"")"),63502.0)</f>
        <v>63502</v>
      </c>
      <c r="S11" s="83">
        <f>IFERROR(__xludf.DUMMYFUNCTION("IMPORTRANGE(""https://docs.google.com/spreadsheets/d/1AKS3XWcgwNLFRbGU-lJ3UBHDQNdglvKwrv4_Bpp1IjU/edit#gid=73116376?usp=sharing"",""1-12每月!$H11"")"),29570.0)</f>
        <v>29570</v>
      </c>
      <c r="T11" s="83">
        <f>IFERROR(__xludf.DUMMYFUNCTION("IMPORTRANGE(""https://docs.google.com/spreadsheets/d/1wGGXGHkWT5JsjUDTy4FnHN_O9ae4MADbMykqIWVThNc/edit#gid=297806252?usp=sharing"",""1-12每月!$H11"")"),23224.0)</f>
        <v>23224</v>
      </c>
      <c r="U11" s="83">
        <f>IFERROR(__xludf.DUMMYFUNCTION("IMPORTRANGE(""https://docs.google.com/spreadsheets/d/1ShTgtQQDjMKpYx-TJ_lwdxnWSzJNUcNnzR3fJjoaZec/edit#gid=66107904?usp=sharing"",""1-12每月!$H11"")"),32329.0)</f>
        <v>32329</v>
      </c>
      <c r="V11" s="83">
        <f>IFERROR(__xludf.DUMMYFUNCTION("IMPORTRANGE(""https://docs.google.com/spreadsheets/d/1_eyuyKbXFCJd6fVFEKQwugwYCbRCmmWN_M7XR1dtOb8/edit#gid=951918895?usp=sharing"",""1-12每月!$H11"")"),39363.0)</f>
        <v>39363</v>
      </c>
      <c r="W11" s="83">
        <f>IFERROR(__xludf.DUMMYFUNCTION("IMPORTRANGE(""https://docs.google.com/spreadsheets/d/1yEpHI9_Y4w8sRmPP9C-mYK4NMfVuTJifGLMj4FMdqek/edit#gid=799087919?usp=sharing"",""1-12每月!$H11"")"),65452.0)</f>
        <v>65452</v>
      </c>
      <c r="X11" s="83">
        <f>IFERROR(__xludf.DUMMYFUNCTION("IMPORTRANGE(""https://docs.google.com/spreadsheets/d/1Vbyb9GlrY6jOwvoGyZFB96f7WXYjkT6gvTE37DPDXDI/edit#gid=9591526?usp=sharing"",""1-12每月!$H11"")"),53778.0)</f>
        <v>53778</v>
      </c>
      <c r="Y11" s="83">
        <f>IFERROR(__xludf.DUMMYFUNCTION("IMPORTRANGE(""https://docs.google.com/spreadsheets/d/1qeckoJwzWQAg8zQ80D-QJP4pnVYH6l2juaUyHtOu6y8/edit#gid=1905704096?usp=sharing"",""1-12每月!$H11"")"),87504.0)</f>
        <v>87504</v>
      </c>
      <c r="Z11" s="83">
        <f>IFERROR(__xludf.DUMMYFUNCTION("IMPORTRANGE(""https://docs.google.com/spreadsheets/d/1BcbIi7AD1VDpy_wMQ0YjCG-iuQy0_tkCVqr72a0Pwbg/edit#gid=1099513714?usp=sharing"",""1-12每月!$H11"")"),114034.0)</f>
        <v>114034</v>
      </c>
      <c r="AA11" s="83">
        <f>IFERROR(__xludf.DUMMYFUNCTION("IMPORTRANGE(""https://docs.google.com/spreadsheets/d/1cIFCQPaYiOmIt2O3vkEx5eto8sfRtx3JtAWJ1fv31HI/edit#gid=432689709?usp=sharing"",""1-12每月!$H11"")"),232408.0)</f>
        <v>232408</v>
      </c>
      <c r="AB11" s="83">
        <f>IFERROR(__xludf.DUMMYFUNCTION("IMPORTRANGE(""https://docs.google.com/spreadsheets/d/1C8ECYlbes2CJkHHGOAyOYVfrP7PdlGr8RMjK7KZd0_o/edit#gid=495469277?usp=sharing"",""1-12每月!$H11"")"),56130.0)</f>
        <v>56130</v>
      </c>
      <c r="AC11" s="83">
        <f>IFERROR(__xludf.DUMMYFUNCTION("IMPORTRANGE(""https://docs.google.com/spreadsheets/d/1ettcrhLPK6tkvHZxDTyU2bGIpGSi2ynG91ln0fqz9iE/edit#gid=1364213386?usp=sharing"",""1-12每月!$I11"")"),43517.0)</f>
        <v>43517</v>
      </c>
      <c r="AD11" s="83">
        <f>IFERROR(__xludf.DUMMYFUNCTION("IMPORTRANGE(""https://docs.google.com/spreadsheets/d/1xUhm-MtqzfUO8M5WEWVv9w2EFkv5_PHMOsAlA3CcCWU/edit#gid=1700470961?usp=sharing"",""1-12每月!$I11"")"),26126.0)</f>
        <v>26126</v>
      </c>
      <c r="AE11" s="83">
        <f>IFERROR(__xludf.DUMMYFUNCTION("IMPORTRANGE(""https://docs.google.com/spreadsheets/d/1DP8wl0QQLYSZ8R2aQ8wNmiAUXn7lVrqMsdTccpBmnQc/edit#gid=1145593933?usp=sharing"",""1-12每月!$I11"")"),29394.0)</f>
        <v>29394</v>
      </c>
      <c r="AF11" s="83">
        <f>IFERROR(__xludf.DUMMYFUNCTION("IMPORTRANGE(""https://docs.google.com/spreadsheets/d/17hbKAHrpKLEbG3r9s1Ay3fOGzvOBzSu3Bn_CD4JNLhY/edit#gid=756408948?usp=sharing"",""1-12每月!$I11"")"),27764.0)</f>
        <v>27764</v>
      </c>
      <c r="AG11" s="83">
        <f>IFERROR(__xludf.DUMMYFUNCTION("IMPORTRANGE(""https://docs.google.com/spreadsheets/d/1qeecSCKZ78ENQrsyUYpSNZqvo0-Y-uuGKFA1F06yLEM/edit#gid=874445072?usp=sharing"",""1-12每月!$I11"")"),28324.0)</f>
        <v>28324</v>
      </c>
      <c r="AH11" s="83">
        <f>IFERROR(__xludf.DUMMYFUNCTION("IMPORTRANGE(""https://docs.google.com/spreadsheets/d/1BSX0y1fIKw9-3VTr627UzGVjwKe74kwBkuFnvlaueNo/edit#gid=1113655470"",""1-12每月!$I11"")"),2567.0)</f>
        <v>2567</v>
      </c>
      <c r="AI11" s="83">
        <f>IFERROR(__xludf.DUMMYFUNCTION("IMPORTRANGE(""https://docs.google.com/spreadsheets/d/1bQzlrSGiVqBrfQ6FKnw67vhBELFgthonryGzmQabVFQ/edit#gid=1015697053?usp=sharing"",""1-12每月!$I11"")"),14836.0)</f>
        <v>14836</v>
      </c>
      <c r="AJ11" s="83">
        <f>IFERROR(__xludf.DUMMYFUNCTION("IMPORTRANGE(""https://docs.google.com/spreadsheets/d/1Pem-mgCz4CF6EUKNVxDQx16g9jie0F5YNDQ_cPnMHYs"",""1-12每月!$I11"")"),19891.0)</f>
        <v>19891</v>
      </c>
      <c r="AK11" s="83">
        <f>IFERROR(__xludf.DUMMYFUNCTION("IMPORTRANGE(""https://docs.google.com/spreadsheets/d/1ZoRtUl0m9T3TpY8H-9-ntNBO_zrYrgNKuAe_XfTeFnU"",""1-12每月!$I11"")"),24812.0)</f>
        <v>24812</v>
      </c>
      <c r="AL11" s="83">
        <f>IFERROR(__xludf.DUMMYFUNCTION("IMPORTRANGE(""https://docs.google.com/spreadsheets/d/1Y9Uv46r1nA3ixCGwTWZqhGQWDt4KVX4iXmhJgHL5CGQ"",""1-12每月!$I11"")"),30650.0)</f>
        <v>30650</v>
      </c>
      <c r="AM11" s="114">
        <f>IFERROR(__xludf.DUMMYFUNCTION("IMPORTRANGE(""https://docs.google.com/spreadsheets/d/1E3X732-CKfouAVQOwKyrePWwI1Bwg9NHD0VD42lyiu4/edit?gid=1513765949#gid=1513765949"",""1-12每月!$I11"")"),0.0)</f>
        <v>0</v>
      </c>
      <c r="AN11" s="115"/>
      <c r="AO11" s="115"/>
      <c r="AP11" s="115"/>
      <c r="AQ11" s="115"/>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IFERROR(__xludf.DUMMYFUNCTION("IMPORTRANGE(""https://docs.google.com/spreadsheets/d/1dffLfsI-BGVz-K0zdrsWfGaqrFfoLJAhq001merp6Rk/edit?usp=sharing"",""1-12每月!$I12"")"),15480.0)</f>
        <v>15480</v>
      </c>
      <c r="N12" s="83">
        <f>IFERROR(__xludf.DUMMYFUNCTION("IMPORTRANGE(""https://docs.google.com/spreadsheets/d/1SzxpZPUDnwxS8mSOLGEH5NbWU7ZW_VcRmIn7psOvuTs/edit#gid=1650312294?usp=sharing"",""1-12每月!$I12"")"),27504.0)</f>
        <v>27504</v>
      </c>
      <c r="O12" s="83">
        <f>IFERROR(__xludf.DUMMYFUNCTION("IMPORTRANGE(""https://docs.google.com/spreadsheets/d/1ta9i7cAkOPF0LapwmU_YEDA4IPQvKNuaYVMY8vIVPwI/edit#gid=1607741572?usp=sharing"",""1-12每月!$I12"")"),27106.0)</f>
        <v>27106</v>
      </c>
      <c r="P12" s="83">
        <f>IFERROR(__xludf.DUMMYFUNCTION("IMPORTRANGE(""https://docs.google.com/spreadsheets/d/1f4WWQfcNBonYqfzcaBhJlHzPwh34sx4U6naz-Aw2G4I/edit#gid=2097425894?usp=sharing"",""1-12每月!$I12"")"),17540.0)</f>
        <v>17540</v>
      </c>
      <c r="Q12" s="83">
        <f>IFERROR(__xludf.DUMMYFUNCTION("IMPORTRANGE(""https://docs.google.com/spreadsheets/d/1pCmmgCj7Y_SQPZLsiVd3yvND9oLyryVfBwNxC6OUwm8/edit#gid=170549058?usp=sharing"",""1-12每月!$I12"")"),16398.0)</f>
        <v>16398</v>
      </c>
      <c r="R12" s="83">
        <f>IFERROR(__xludf.DUMMYFUNCTION("IMPORTRANGE(""https://docs.google.com/spreadsheets/d/1hrRqxxacrLITR_JGMRVbhSRCIZIU8gAv0o_aOkHz68M/edit#gid=763155734?usp=sharing"",""1-12每月!$I12"")"),50681.0)</f>
        <v>50681</v>
      </c>
      <c r="S12" s="83">
        <f>IFERROR(__xludf.DUMMYFUNCTION("IMPORTRANGE(""https://docs.google.com/spreadsheets/d/1AKS3XWcgwNLFRbGU-lJ3UBHDQNdglvKwrv4_Bpp1IjU/edit#gid=73116376?usp=sharing"",""1-12每月!$H12"")"),46228.0)</f>
        <v>46228</v>
      </c>
      <c r="T12" s="83">
        <f>IFERROR(__xludf.DUMMYFUNCTION("IMPORTRANGE(""https://docs.google.com/spreadsheets/d/1wGGXGHkWT5JsjUDTy4FnHN_O9ae4MADbMykqIWVThNc/edit#gid=297806252?usp=sharing"",""1-12每月!$H12"")"),19037.0)</f>
        <v>19037</v>
      </c>
      <c r="U12" s="83">
        <f>IFERROR(__xludf.DUMMYFUNCTION("IMPORTRANGE(""https://docs.google.com/spreadsheets/d/1ShTgtQQDjMKpYx-TJ_lwdxnWSzJNUcNnzR3fJjoaZec/edit#gid=66107904?usp=sharing"",""1-12每月!$H12"")"),29789.0)</f>
        <v>29789</v>
      </c>
      <c r="V12" s="83">
        <f>IFERROR(__xludf.DUMMYFUNCTION("IMPORTRANGE(""https://docs.google.com/spreadsheets/d/1_eyuyKbXFCJd6fVFEKQwugwYCbRCmmWN_M7XR1dtOb8/edit#gid=951918895?usp=sharing"",""1-12每月!$H12"")"),24074.0)</f>
        <v>24074</v>
      </c>
      <c r="W12" s="83">
        <f>IFERROR(__xludf.DUMMYFUNCTION("IMPORTRANGE(""https://docs.google.com/spreadsheets/d/1yEpHI9_Y4w8sRmPP9C-mYK4NMfVuTJifGLMj4FMdqek/edit#gid=799087919?usp=sharing"",""1-12每月!$H12"")"),58983.0)</f>
        <v>58983</v>
      </c>
      <c r="X12" s="83">
        <f>IFERROR(__xludf.DUMMYFUNCTION("IMPORTRANGE(""https://docs.google.com/spreadsheets/d/1Vbyb9GlrY6jOwvoGyZFB96f7WXYjkT6gvTE37DPDXDI/edit#gid=9591526?usp=sharing"",""1-12每月!$H12"")"),56399.0)</f>
        <v>56399</v>
      </c>
      <c r="Y12" s="83">
        <f>IFERROR(__xludf.DUMMYFUNCTION("IMPORTRANGE(""https://docs.google.com/spreadsheets/d/1qeckoJwzWQAg8zQ80D-QJP4pnVYH6l2juaUyHtOu6y8/edit#gid=1905704096?usp=sharing"",""1-12每月!$H12"")"),63490.0)</f>
        <v>63490</v>
      </c>
      <c r="Z12" s="83">
        <f>IFERROR(__xludf.DUMMYFUNCTION("IMPORTRANGE(""https://docs.google.com/spreadsheets/d/1BcbIi7AD1VDpy_wMQ0YjCG-iuQy0_tkCVqr72a0Pwbg/edit#gid=1099513714?usp=sharing"",""1-12每月!$H12"")"),173733.0)</f>
        <v>173733</v>
      </c>
      <c r="AA12" s="83">
        <f>IFERROR(__xludf.DUMMYFUNCTION("IMPORTRANGE(""https://docs.google.com/spreadsheets/d/1cIFCQPaYiOmIt2O3vkEx5eto8sfRtx3JtAWJ1fv31HI/edit#gid=432689709?usp=sharing"",""1-12每月!$H12"")"),235135.0)</f>
        <v>235135</v>
      </c>
      <c r="AB12" s="83">
        <f>IFERROR(__xludf.DUMMYFUNCTION("IMPORTRANGE(""https://docs.google.com/spreadsheets/d/1C8ECYlbes2CJkHHGOAyOYVfrP7PdlGr8RMjK7KZd0_o/edit#gid=495469277?usp=sharing"",""1-12每月!$H12"")"),28200.0)</f>
        <v>28200</v>
      </c>
      <c r="AC12" s="83">
        <f>IFERROR(__xludf.DUMMYFUNCTION("IMPORTRANGE(""https://docs.google.com/spreadsheets/d/1ettcrhLPK6tkvHZxDTyU2bGIpGSi2ynG91ln0fqz9iE/edit#gid=1364213386?usp=sharing"",""1-12每月!$I12"")"),38151.0)</f>
        <v>38151</v>
      </c>
      <c r="AD12" s="83">
        <f>IFERROR(__xludf.DUMMYFUNCTION("IMPORTRANGE(""https://docs.google.com/spreadsheets/d/1xUhm-MtqzfUO8M5WEWVv9w2EFkv5_PHMOsAlA3CcCWU/edit#gid=1700470961?usp=sharing"",""1-12每月!$I12"")"),31862.0)</f>
        <v>31862</v>
      </c>
      <c r="AE12" s="83">
        <f>IFERROR(__xludf.DUMMYFUNCTION("IMPORTRANGE(""https://docs.google.com/spreadsheets/d/1DP8wl0QQLYSZ8R2aQ8wNmiAUXn7lVrqMsdTccpBmnQc/edit#gid=1145593933?usp=sharing"",""1-12每月!$I12"")"),31647.0)</f>
        <v>31647</v>
      </c>
      <c r="AF12" s="83">
        <f>IFERROR(__xludf.DUMMYFUNCTION("IMPORTRANGE(""https://docs.google.com/spreadsheets/d/17hbKAHrpKLEbG3r9s1Ay3fOGzvOBzSu3Bn_CD4JNLhY/edit#gid=756408948?usp=sharing"",""1-12每月!$I12"")"),24058.0)</f>
        <v>24058</v>
      </c>
      <c r="AG12" s="83">
        <f>IFERROR(__xludf.DUMMYFUNCTION("IMPORTRANGE(""https://docs.google.com/spreadsheets/d/1qeecSCKZ78ENQrsyUYpSNZqvo0-Y-uuGKFA1F06yLEM/edit#gid=874445072?usp=sharing"",""1-12每月!$I12"")"),32040.0)</f>
        <v>32040</v>
      </c>
      <c r="AH12" s="83">
        <f>IFERROR(__xludf.DUMMYFUNCTION("IMPORTRANGE(""https://docs.google.com/spreadsheets/d/1BSX0y1fIKw9-3VTr627UzGVjwKe74kwBkuFnvlaueNo/edit#gid=1113655470"",""1-12每月!$I12"")"),10575.0)</f>
        <v>10575</v>
      </c>
      <c r="AI12" s="83">
        <f>IFERROR(__xludf.DUMMYFUNCTION("IMPORTRANGE(""https://docs.google.com/spreadsheets/d/1bQzlrSGiVqBrfQ6FKnw67vhBELFgthonryGzmQabVFQ/edit#gid=1015697053?usp=sharing"",""1-12每月!$I12"")"),14464.0)</f>
        <v>14464</v>
      </c>
      <c r="AJ12" s="83">
        <f>IFERROR(__xludf.DUMMYFUNCTION("IMPORTRANGE(""https://docs.google.com/spreadsheets/d/1Pem-mgCz4CF6EUKNVxDQx16g9jie0F5YNDQ_cPnMHYs"",""1-12每月!$I12"")"),20715.0)</f>
        <v>20715</v>
      </c>
      <c r="AK12" s="83">
        <f>IFERROR(__xludf.DUMMYFUNCTION("IMPORTRANGE(""https://docs.google.com/spreadsheets/d/1ZoRtUl0m9T3TpY8H-9-ntNBO_zrYrgNKuAe_XfTeFnU"",""1-12每月!$I12"")"),29048.0)</f>
        <v>29048</v>
      </c>
      <c r="AL12" s="83">
        <f>IFERROR(__xludf.DUMMYFUNCTION("IMPORTRANGE(""https://docs.google.com/spreadsheets/d/1Y9Uv46r1nA3ixCGwTWZqhGQWDt4KVX4iXmhJgHL5CGQ"",""1-12每月!$I12"")"),36770.0)</f>
        <v>36770</v>
      </c>
      <c r="AM12" s="114">
        <f>IFERROR(__xludf.DUMMYFUNCTION("IMPORTRANGE(""https://docs.google.com/spreadsheets/d/1E3X732-CKfouAVQOwKyrePWwI1Bwg9NHD0VD42lyiu4/edit?gid=1513765949#gid=1513765949"",""1-12每月!$I12"")"),0.0)</f>
        <v>0</v>
      </c>
      <c r="AN12" s="115"/>
      <c r="AO12" s="115"/>
      <c r="AP12" s="115"/>
      <c r="AQ12" s="115"/>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IFERROR(__xludf.DUMMYFUNCTION("IMPORTRANGE(""https://docs.google.com/spreadsheets/d/1dffLfsI-BGVz-K0zdrsWfGaqrFfoLJAhq001merp6Rk/edit?usp=sharing"",""1-12每月!$I13"")"),21967.0)</f>
        <v>21967</v>
      </c>
      <c r="N13" s="83">
        <f>IFERROR(__xludf.DUMMYFUNCTION("IMPORTRANGE(""https://docs.google.com/spreadsheets/d/1SzxpZPUDnwxS8mSOLGEH5NbWU7ZW_VcRmIn7psOvuTs/edit#gid=1650312294?usp=sharing"",""1-12每月!$I13"")"),19437.0)</f>
        <v>19437</v>
      </c>
      <c r="O13" s="83">
        <f>IFERROR(__xludf.DUMMYFUNCTION("IMPORTRANGE(""https://docs.google.com/spreadsheets/d/1ta9i7cAkOPF0LapwmU_YEDA4IPQvKNuaYVMY8vIVPwI/edit#gid=1607741572?usp=sharing"",""1-12每月!$I13"")"),24962.0)</f>
        <v>24962</v>
      </c>
      <c r="P13" s="83">
        <f>IFERROR(__xludf.DUMMYFUNCTION("IMPORTRANGE(""https://docs.google.com/spreadsheets/d/1f4WWQfcNBonYqfzcaBhJlHzPwh34sx4U6naz-Aw2G4I/edit#gid=2097425894?usp=sharing"",""1-12每月!$I13"")"),10643.0)</f>
        <v>10643</v>
      </c>
      <c r="Q13" s="83">
        <f>IFERROR(__xludf.DUMMYFUNCTION("IMPORTRANGE(""https://docs.google.com/spreadsheets/d/1pCmmgCj7Y_SQPZLsiVd3yvND9oLyryVfBwNxC6OUwm8/edit#gid=170549058?usp=sharing"",""1-12每月!$I13"")"),26893.0)</f>
        <v>26893</v>
      </c>
      <c r="R13" s="83">
        <f>IFERROR(__xludf.DUMMYFUNCTION("IMPORTRANGE(""https://docs.google.com/spreadsheets/d/1hrRqxxacrLITR_JGMRVbhSRCIZIU8gAv0o_aOkHz68M/edit#gid=763155734?usp=sharing"",""1-12每月!$I13"")"),33864.0)</f>
        <v>33864</v>
      </c>
      <c r="S13" s="83">
        <f>IFERROR(__xludf.DUMMYFUNCTION("IMPORTRANGE(""https://docs.google.com/spreadsheets/d/1AKS3XWcgwNLFRbGU-lJ3UBHDQNdglvKwrv4_Bpp1IjU/edit#gid=73116376?usp=sharing"",""1-12每月!$H13"")"),37448.0)</f>
        <v>37448</v>
      </c>
      <c r="T13" s="83">
        <f>IFERROR(__xludf.DUMMYFUNCTION("IMPORTRANGE(""https://docs.google.com/spreadsheets/d/1wGGXGHkWT5JsjUDTy4FnHN_O9ae4MADbMykqIWVThNc/edit#gid=297806252?usp=sharing"",""1-12每月!$H13"")"),20658.0)</f>
        <v>20658</v>
      </c>
      <c r="U13" s="83">
        <f>IFERROR(__xludf.DUMMYFUNCTION("IMPORTRANGE(""https://docs.google.com/spreadsheets/d/1ShTgtQQDjMKpYx-TJ_lwdxnWSzJNUcNnzR3fJjoaZec/edit#gid=66107904?usp=sharing"",""1-12每月!$H13"")"),23410.0)</f>
        <v>23410</v>
      </c>
      <c r="V13" s="83">
        <f>IFERROR(__xludf.DUMMYFUNCTION("IMPORTRANGE(""https://docs.google.com/spreadsheets/d/1_eyuyKbXFCJd6fVFEKQwugwYCbRCmmWN_M7XR1dtOb8/edit#gid=951918895?usp=sharing"",""1-12每月!$H13"")"),27630.0)</f>
        <v>27630</v>
      </c>
      <c r="W13" s="83">
        <f>IFERROR(__xludf.DUMMYFUNCTION("IMPORTRANGE(""https://docs.google.com/spreadsheets/d/1yEpHI9_Y4w8sRmPP9C-mYK4NMfVuTJifGLMj4FMdqek/edit#gid=799087919?usp=sharing"",""1-12每月!$H13"")"),44873.0)</f>
        <v>44873</v>
      </c>
      <c r="X13" s="83">
        <f>IFERROR(__xludf.DUMMYFUNCTION("IMPORTRANGE(""https://docs.google.com/spreadsheets/d/1Vbyb9GlrY6jOwvoGyZFB96f7WXYjkT6gvTE37DPDXDI/edit#gid=9591526?usp=sharing"",""1-12每月!$H13"")"),48410.0)</f>
        <v>48410</v>
      </c>
      <c r="Y13" s="83">
        <f>IFERROR(__xludf.DUMMYFUNCTION("IMPORTRANGE(""https://docs.google.com/spreadsheets/d/1qeckoJwzWQAg8zQ80D-QJP4pnVYH6l2juaUyHtOu6y8/edit#gid=1905704096?usp=sharing"",""1-12每月!$H13"")"),68319.0)</f>
        <v>68319</v>
      </c>
      <c r="Z13" s="83">
        <f>IFERROR(__xludf.DUMMYFUNCTION("IMPORTRANGE(""https://docs.google.com/spreadsheets/d/1BcbIi7AD1VDpy_wMQ0YjCG-iuQy0_tkCVqr72a0Pwbg/edit#gid=1099513714?usp=sharing"",""1-12每月!$H13"")"),164826.0)</f>
        <v>164826</v>
      </c>
      <c r="AA13" s="83">
        <f>IFERROR(__xludf.DUMMYFUNCTION("IMPORTRANGE(""https://docs.google.com/spreadsheets/d/1cIFCQPaYiOmIt2O3vkEx5eto8sfRtx3JtAWJ1fv31HI/edit#gid=432689709?usp=sharing"",""1-12每月!$H13"")"),240447.0)</f>
        <v>240447</v>
      </c>
      <c r="AB13" s="83">
        <f>IFERROR(__xludf.DUMMYFUNCTION("IMPORTRANGE(""https://docs.google.com/spreadsheets/d/1C8ECYlbes2CJkHHGOAyOYVfrP7PdlGr8RMjK7KZd0_o/edit#gid=495469277?usp=sharing"",""1-12每月!$H13"")"),38233.0)</f>
        <v>38233</v>
      </c>
      <c r="AC13" s="83">
        <f>IFERROR(__xludf.DUMMYFUNCTION("IMPORTRANGE(""https://docs.google.com/spreadsheets/d/1ettcrhLPK6tkvHZxDTyU2bGIpGSi2ynG91ln0fqz9iE/edit#gid=1364213386?usp=sharing"",""1-12每月!$I13"")"),19262.0)</f>
        <v>19262</v>
      </c>
      <c r="AD13" s="83">
        <f>IFERROR(__xludf.DUMMYFUNCTION("IMPORTRANGE(""https://docs.google.com/spreadsheets/d/1xUhm-MtqzfUO8M5WEWVv9w2EFkv5_PHMOsAlA3CcCWU/edit#gid=1700470961?usp=sharing"",""1-12每月!$I13"")"),21754.0)</f>
        <v>21754</v>
      </c>
      <c r="AE13" s="83">
        <f>IFERROR(__xludf.DUMMYFUNCTION("IMPORTRANGE(""https://docs.google.com/spreadsheets/d/1DP8wl0QQLYSZ8R2aQ8wNmiAUXn7lVrqMsdTccpBmnQc/edit#gid=1145593933?usp=sharing"",""1-12每月!$I13"")"),18735.0)</f>
        <v>18735</v>
      </c>
      <c r="AF13" s="83">
        <f>IFERROR(__xludf.DUMMYFUNCTION("IMPORTRANGE(""https://docs.google.com/spreadsheets/d/17hbKAHrpKLEbG3r9s1Ay3fOGzvOBzSu3Bn_CD4JNLhY/edit#gid=756408948?usp=sharing"",""1-12每月!$I13"")"),15766.0)</f>
        <v>15766</v>
      </c>
      <c r="AG13" s="83">
        <f>IFERROR(__xludf.DUMMYFUNCTION("IMPORTRANGE(""https://docs.google.com/spreadsheets/d/1qeecSCKZ78ENQrsyUYpSNZqvo0-Y-uuGKFA1F06yLEM/edit#gid=874445072?usp=sharing"",""1-12每月!$I13"")"),23137.0)</f>
        <v>23137</v>
      </c>
      <c r="AH13" s="83">
        <f>IFERROR(__xludf.DUMMYFUNCTION("IMPORTRANGE(""https://docs.google.com/spreadsheets/d/1BSX0y1fIKw9-3VTr627UzGVjwKe74kwBkuFnvlaueNo/edit#gid=1113655470"",""1-12每月!$I13"")"),8972.0)</f>
        <v>8972</v>
      </c>
      <c r="AI13" s="83">
        <f>IFERROR(__xludf.DUMMYFUNCTION("IMPORTRANGE(""https://docs.google.com/spreadsheets/d/1bQzlrSGiVqBrfQ6FKnw67vhBELFgthonryGzmQabVFQ/edit#gid=1015697053?usp=sharing"",""1-12每月!$I13"")"),10719.0)</f>
        <v>10719</v>
      </c>
      <c r="AJ13" s="83">
        <f>IFERROR(__xludf.DUMMYFUNCTION("IMPORTRANGE(""https://docs.google.com/spreadsheets/d/1Pem-mgCz4CF6EUKNVxDQx16g9jie0F5YNDQ_cPnMHYs"",""1-12每月!$I13"")"),19297.0)</f>
        <v>19297</v>
      </c>
      <c r="AK13" s="83">
        <f>IFERROR(__xludf.DUMMYFUNCTION("IMPORTRANGE(""https://docs.google.com/spreadsheets/d/1ZoRtUl0m9T3TpY8H-9-ntNBO_zrYrgNKuAe_XfTeFnU"",""1-12每月!$I13"")"),24338.0)</f>
        <v>24338</v>
      </c>
      <c r="AL13" s="83">
        <f>IFERROR(__xludf.DUMMYFUNCTION("IMPORTRANGE(""https://docs.google.com/spreadsheets/d/1Y9Uv46r1nA3ixCGwTWZqhGQWDt4KVX4iXmhJgHL5CGQ"",""1-12每月!$I13"")"),28254.0)</f>
        <v>28254</v>
      </c>
      <c r="AM13" s="114">
        <f>IFERROR(__xludf.DUMMYFUNCTION("IMPORTRANGE(""https://docs.google.com/spreadsheets/d/1E3X732-CKfouAVQOwKyrePWwI1Bwg9NHD0VD42lyiu4/edit?gid=1513765949#gid=1513765949"",""1-12每月!$I13"")"),0.0)</f>
        <v>0</v>
      </c>
      <c r="AN13" s="115"/>
      <c r="AO13" s="115"/>
      <c r="AP13" s="115"/>
      <c r="AQ13" s="115"/>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IFERROR(__xludf.DUMMYFUNCTION("IMPORTRANGE(""https://docs.google.com/spreadsheets/d/1dffLfsI-BGVz-K0zdrsWfGaqrFfoLJAhq001merp6Rk/edit?usp=sharing"",""1-12每月!$I14"")"),22183.0)</f>
        <v>22183</v>
      </c>
      <c r="N14" s="83">
        <f>IFERROR(__xludf.DUMMYFUNCTION("IMPORTRANGE(""https://docs.google.com/spreadsheets/d/1SzxpZPUDnwxS8mSOLGEH5NbWU7ZW_VcRmIn7psOvuTs/edit#gid=1650312294?usp=sharing"",""1-12每月!$I14"")"),31886.0)</f>
        <v>31886</v>
      </c>
      <c r="O14" s="83">
        <f>IFERROR(__xludf.DUMMYFUNCTION("IMPORTRANGE(""https://docs.google.com/spreadsheets/d/1ta9i7cAkOPF0LapwmU_YEDA4IPQvKNuaYVMY8vIVPwI/edit#gid=1607741572?usp=sharing"",""1-12每月!$I14"")"),5298.0)</f>
        <v>5298</v>
      </c>
      <c r="P14" s="83">
        <f>IFERROR(__xludf.DUMMYFUNCTION("IMPORTRANGE(""https://docs.google.com/spreadsheets/d/1f4WWQfcNBonYqfzcaBhJlHzPwh34sx4U6naz-Aw2G4I/edit#gid=2097425894?usp=sharing"",""1-12每月!$I14"")"),5731.0)</f>
        <v>5731</v>
      </c>
      <c r="Q14" s="83">
        <f>IFERROR(__xludf.DUMMYFUNCTION("IMPORTRANGE(""https://docs.google.com/spreadsheets/d/1pCmmgCj7Y_SQPZLsiVd3yvND9oLyryVfBwNxC6OUwm8/edit#gid=170549058?usp=sharing"",""1-12每月!$I14"")"),15470.0)</f>
        <v>15470</v>
      </c>
      <c r="R14" s="83">
        <f>IFERROR(__xludf.DUMMYFUNCTION("IMPORTRANGE(""https://docs.google.com/spreadsheets/d/1hrRqxxacrLITR_JGMRVbhSRCIZIU8gAv0o_aOkHz68M/edit#gid=763155734?usp=sharing"",""1-12每月!$I14"")"),47858.0)</f>
        <v>47858</v>
      </c>
      <c r="S14" s="83">
        <f>IFERROR(__xludf.DUMMYFUNCTION("IMPORTRANGE(""https://docs.google.com/spreadsheets/d/1AKS3XWcgwNLFRbGU-lJ3UBHDQNdglvKwrv4_Bpp1IjU/edit#gid=73116376?usp=sharing"",""1-12每月!$H14"")"),52159.0)</f>
        <v>52159</v>
      </c>
      <c r="T14" s="83">
        <f>IFERROR(__xludf.DUMMYFUNCTION("IMPORTRANGE(""https://docs.google.com/spreadsheets/d/1wGGXGHkWT5JsjUDTy4FnHN_O9ae4MADbMykqIWVThNc/edit#gid=297806252?usp=sharing"",""1-12每月!$H14"")"),31689.0)</f>
        <v>31689</v>
      </c>
      <c r="U14" s="83">
        <f>IFERROR(__xludf.DUMMYFUNCTION("IMPORTRANGE(""https://docs.google.com/spreadsheets/d/1ShTgtQQDjMKpYx-TJ_lwdxnWSzJNUcNnzR3fJjoaZec/edit#gid=66107904?usp=sharing"",""1-12每月!$H14"")"),30901.0)</f>
        <v>30901</v>
      </c>
      <c r="V14" s="83">
        <f>IFERROR(__xludf.DUMMYFUNCTION("IMPORTRANGE(""https://docs.google.com/spreadsheets/d/1_eyuyKbXFCJd6fVFEKQwugwYCbRCmmWN_M7XR1dtOb8/edit#gid=951918895?usp=sharing"",""1-12每月!$H14"")"),39001.0)</f>
        <v>39001</v>
      </c>
      <c r="W14" s="83">
        <f>IFERROR(__xludf.DUMMYFUNCTION("IMPORTRANGE(""https://docs.google.com/spreadsheets/d/1yEpHI9_Y4w8sRmPP9C-mYK4NMfVuTJifGLMj4FMdqek/edit#gid=799087919?usp=sharing"",""1-12每月!$H14"")"),55024.0)</f>
        <v>55024</v>
      </c>
      <c r="X14" s="83">
        <f>IFERROR(__xludf.DUMMYFUNCTION("IMPORTRANGE(""https://docs.google.com/spreadsheets/d/1Vbyb9GlrY6jOwvoGyZFB96f7WXYjkT6gvTE37DPDXDI/edit#gid=9591526?usp=sharing"",""1-12每月!$H14"")"),66379.0)</f>
        <v>66379</v>
      </c>
      <c r="Y14" s="83">
        <f>IFERROR(__xludf.DUMMYFUNCTION("IMPORTRANGE(""https://docs.google.com/spreadsheets/d/1qeckoJwzWQAg8zQ80D-QJP4pnVYH6l2juaUyHtOu6y8/edit#gid=1905704096?usp=sharing"",""1-12每月!$H14"")"),83803.0)</f>
        <v>83803</v>
      </c>
      <c r="Z14" s="83">
        <f>IFERROR(__xludf.DUMMYFUNCTION("IMPORTRANGE(""https://docs.google.com/spreadsheets/d/1BcbIi7AD1VDpy_wMQ0YjCG-iuQy0_tkCVqr72a0Pwbg/edit#gid=1099513714?usp=sharing"",""1-12每月!$H14"")"),134561.0)</f>
        <v>134561</v>
      </c>
      <c r="AA14" s="83">
        <f>IFERROR(__xludf.DUMMYFUNCTION("IMPORTRANGE(""https://docs.google.com/spreadsheets/d/1cIFCQPaYiOmIt2O3vkEx5eto8sfRtx3JtAWJ1fv31HI/edit#gid=432689709?usp=sharing"",""1-12每月!$H14"")"),249740.0)</f>
        <v>249740</v>
      </c>
      <c r="AB14" s="83">
        <f>IFERROR(__xludf.DUMMYFUNCTION("IMPORTRANGE(""https://docs.google.com/spreadsheets/d/1C8ECYlbes2CJkHHGOAyOYVfrP7PdlGr8RMjK7KZd0_o/edit#gid=495469277?usp=sharing"",""1-12每月!$H14"")"),50377.0)</f>
        <v>50377</v>
      </c>
      <c r="AC14" s="83">
        <f>IFERROR(__xludf.DUMMYFUNCTION("IMPORTRANGE(""https://docs.google.com/spreadsheets/d/1ettcrhLPK6tkvHZxDTyU2bGIpGSi2ynG91ln0fqz9iE/edit#gid=1364213386?usp=sharing"",""1-12每月!$I14"")"),29159.0)</f>
        <v>29159</v>
      </c>
      <c r="AD14" s="83">
        <f>IFERROR(__xludf.DUMMYFUNCTION("IMPORTRANGE(""https://docs.google.com/spreadsheets/d/1xUhm-MtqzfUO8M5WEWVv9w2EFkv5_PHMOsAlA3CcCWU/edit#gid=1700470961?usp=sharing"",""1-12每月!$I14"")"),30332.0)</f>
        <v>30332</v>
      </c>
      <c r="AE14" s="83">
        <f>IFERROR(__xludf.DUMMYFUNCTION("IMPORTRANGE(""https://docs.google.com/spreadsheets/d/1DP8wl0QQLYSZ8R2aQ8wNmiAUXn7lVrqMsdTccpBmnQc/edit#gid=1145593933?usp=sharing"",""1-12每月!$I14"")"),21001.0)</f>
        <v>21001</v>
      </c>
      <c r="AF14" s="83">
        <f>IFERROR(__xludf.DUMMYFUNCTION("IMPORTRANGE(""https://docs.google.com/spreadsheets/d/17hbKAHrpKLEbG3r9s1Ay3fOGzvOBzSu3Bn_CD4JNLhY/edit#gid=756408948?usp=sharing"",""1-12每月!$I14"")"),21196.0)</f>
        <v>21196</v>
      </c>
      <c r="AG14" s="83">
        <f>IFERROR(__xludf.DUMMYFUNCTION("IMPORTRANGE(""https://docs.google.com/spreadsheets/d/1qeecSCKZ78ENQrsyUYpSNZqvo0-Y-uuGKFA1F06yLEM/edit#gid=874445072?usp=sharing"",""1-12每月!$I14"")"),31912.0)</f>
        <v>31912</v>
      </c>
      <c r="AH14" s="83">
        <f>IFERROR(__xludf.DUMMYFUNCTION("IMPORTRANGE(""https://docs.google.com/spreadsheets/d/1BSX0y1fIKw9-3VTr627UzGVjwKe74kwBkuFnvlaueNo/edit#gid=1113655470"",""1-12每月!$I14"")"),11226.0)</f>
        <v>11226</v>
      </c>
      <c r="AI14" s="83">
        <f>IFERROR(__xludf.DUMMYFUNCTION("IMPORTRANGE(""https://docs.google.com/spreadsheets/d/1bQzlrSGiVqBrfQ6FKnw67vhBELFgthonryGzmQabVFQ/edit#gid=1015697053?usp=sharing"",""1-12每月!$I14"")"),10833.0)</f>
        <v>10833</v>
      </c>
      <c r="AJ14" s="83">
        <f>IFERROR(__xludf.DUMMYFUNCTION("IMPORTRANGE(""https://docs.google.com/spreadsheets/d/1Pem-mgCz4CF6EUKNVxDQx16g9jie0F5YNDQ_cPnMHYs"",""1-12每月!$I14"")"),17685.0)</f>
        <v>17685</v>
      </c>
      <c r="AK14" s="83">
        <f>IFERROR(__xludf.DUMMYFUNCTION("IMPORTRANGE(""https://docs.google.com/spreadsheets/d/1ZoRtUl0m9T3TpY8H-9-ntNBO_zrYrgNKuAe_XfTeFnU"",""1-12每月!$I14"")"),22033.0)</f>
        <v>22033</v>
      </c>
      <c r="AL14" s="83">
        <f>IFERROR(__xludf.DUMMYFUNCTION("IMPORTRANGE(""https://docs.google.com/spreadsheets/d/1Y9Uv46r1nA3ixCGwTWZqhGQWDt4KVX4iXmhJgHL5CGQ"",""1-12每月!$I14"")"),36025.0)</f>
        <v>36025</v>
      </c>
      <c r="AM14" s="114">
        <f>IFERROR(__xludf.DUMMYFUNCTION("IMPORTRANGE(""https://docs.google.com/spreadsheets/d/1E3X732-CKfouAVQOwKyrePWwI1Bwg9NHD0VD42lyiu4/edit?gid=1513765949#gid=1513765949"",""1-12每月!$I14"")"),0.0)</f>
        <v>0</v>
      </c>
      <c r="AN14" s="115"/>
      <c r="AO14" s="115"/>
      <c r="AP14" s="115"/>
      <c r="AQ14" s="115"/>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IFERROR(__xludf.DUMMYFUNCTION("IMPORTRANGE(""https://docs.google.com/spreadsheets/d/1dffLfsI-BGVz-K0zdrsWfGaqrFfoLJAhq001merp6Rk/edit?usp=sharing"",""1-12每月!$I15"")"),13731.0)</f>
        <v>13731</v>
      </c>
      <c r="N15" s="83">
        <f>IFERROR(__xludf.DUMMYFUNCTION("IMPORTRANGE(""https://docs.google.com/spreadsheets/d/1SzxpZPUDnwxS8mSOLGEH5NbWU7ZW_VcRmIn7psOvuTs/edit#gid=1650312294?usp=sharing"",""1-12每月!$I15"")"),24770.0)</f>
        <v>24770</v>
      </c>
      <c r="O15" s="83">
        <f>IFERROR(__xludf.DUMMYFUNCTION("IMPORTRANGE(""https://docs.google.com/spreadsheets/d/1ta9i7cAkOPF0LapwmU_YEDA4IPQvKNuaYVMY8vIVPwI/edit#gid=1607741572?usp=sharing"",""1-12每月!$I15"")"),21673.0)</f>
        <v>21673</v>
      </c>
      <c r="P15" s="83">
        <f>IFERROR(__xludf.DUMMYFUNCTION("IMPORTRANGE(""https://docs.google.com/spreadsheets/d/1f4WWQfcNBonYqfzcaBhJlHzPwh34sx4U6naz-Aw2G4I/edit#gid=2097425894?usp=sharing"",""1-12每月!$I15"")"),5726.0)</f>
        <v>5726</v>
      </c>
      <c r="Q15" s="83">
        <f>IFERROR(__xludf.DUMMYFUNCTION("IMPORTRANGE(""https://docs.google.com/spreadsheets/d/1pCmmgCj7Y_SQPZLsiVd3yvND9oLyryVfBwNxC6OUwm8/edit#gid=170549058?usp=sharing"",""1-12每月!$I15"")"),16729.0)</f>
        <v>16729</v>
      </c>
      <c r="R15" s="83">
        <f>IFERROR(__xludf.DUMMYFUNCTION("IMPORTRANGE(""https://docs.google.com/spreadsheets/d/1hrRqxxacrLITR_JGMRVbhSRCIZIU8gAv0o_aOkHz68M/edit#gid=763155734?usp=sharing"",""1-12每月!$I15"")"),17665.0)</f>
        <v>17665</v>
      </c>
      <c r="S15" s="83">
        <f>IFERROR(__xludf.DUMMYFUNCTION("IMPORTRANGE(""https://docs.google.com/spreadsheets/d/1AKS3XWcgwNLFRbGU-lJ3UBHDQNdglvKwrv4_Bpp1IjU/edit#gid=73116376?usp=sharing"",""1-12每月!$H15"")"),41200.0)</f>
        <v>41200</v>
      </c>
      <c r="T15" s="83">
        <f>IFERROR(__xludf.DUMMYFUNCTION("IMPORTRANGE(""https://docs.google.com/spreadsheets/d/1wGGXGHkWT5JsjUDTy4FnHN_O9ae4MADbMykqIWVThNc/edit#gid=297806252?usp=sharing"",""1-12每月!$H15"")"),18006.0)</f>
        <v>18006</v>
      </c>
      <c r="U15" s="83">
        <f>IFERROR(__xludf.DUMMYFUNCTION("IMPORTRANGE(""https://docs.google.com/spreadsheets/d/1ShTgtQQDjMKpYx-TJ_lwdxnWSzJNUcNnzR3fJjoaZec/edit#gid=66107904?usp=sharing"",""1-12每月!$H15"")"),22809.0)</f>
        <v>22809</v>
      </c>
      <c r="V15" s="83">
        <f>IFERROR(__xludf.DUMMYFUNCTION("IMPORTRANGE(""https://docs.google.com/spreadsheets/d/1_eyuyKbXFCJd6fVFEKQwugwYCbRCmmWN_M7XR1dtOb8/edit#gid=951918895?usp=sharing"",""1-12每月!$H15"")"),32755.0)</f>
        <v>32755</v>
      </c>
      <c r="W15" s="83">
        <f>IFERROR(__xludf.DUMMYFUNCTION("IMPORTRANGE(""https://docs.google.com/spreadsheets/d/1yEpHI9_Y4w8sRmPP9C-mYK4NMfVuTJifGLMj4FMdqek/edit#gid=799087919?usp=sharing"",""1-12每月!$H15"")"),55612.0)</f>
        <v>55612</v>
      </c>
      <c r="X15" s="83">
        <f>IFERROR(__xludf.DUMMYFUNCTION("IMPORTRANGE(""https://docs.google.com/spreadsheets/d/1Vbyb9GlrY6jOwvoGyZFB96f7WXYjkT6gvTE37DPDXDI/edit#gid=9591526?usp=sharing"",""1-12每月!$H15"")"),69501.0)</f>
        <v>69501</v>
      </c>
      <c r="Y15" s="83">
        <f>IFERROR(__xludf.DUMMYFUNCTION("IMPORTRANGE(""https://docs.google.com/spreadsheets/d/1qeckoJwzWQAg8zQ80D-QJP4pnVYH6l2juaUyHtOu6y8/edit#gid=1905704096?usp=sharing"",""1-12每月!$H15"")"),72881.0)</f>
        <v>72881</v>
      </c>
      <c r="Z15" s="83">
        <f>IFERROR(__xludf.DUMMYFUNCTION("IMPORTRANGE(""https://docs.google.com/spreadsheets/d/1BcbIi7AD1VDpy_wMQ0YjCG-iuQy0_tkCVqr72a0Pwbg/edit#gid=1099513714?usp=sharing"",""1-12每月!$H15"")"),180777.0)</f>
        <v>180777</v>
      </c>
      <c r="AA15" s="83">
        <f>IFERROR(__xludf.DUMMYFUNCTION("IMPORTRANGE(""https://docs.google.com/spreadsheets/d/1cIFCQPaYiOmIt2O3vkEx5eto8sfRtx3JtAWJ1fv31HI/edit#gid=432689709?usp=sharing"",""1-12每月!$H15"")"),185230.0)</f>
        <v>185230</v>
      </c>
      <c r="AB15" s="83">
        <f>IFERROR(__xludf.DUMMYFUNCTION("IMPORTRANGE(""https://docs.google.com/spreadsheets/d/1C8ECYlbes2CJkHHGOAyOYVfrP7PdlGr8RMjK7KZd0_o/edit#gid=495469277?usp=sharing"",""1-12每月!$H15"")"),43876.0)</f>
        <v>43876</v>
      </c>
      <c r="AC15" s="83">
        <f>IFERROR(__xludf.DUMMYFUNCTION("IMPORTRANGE(""https://docs.google.com/spreadsheets/d/1ettcrhLPK6tkvHZxDTyU2bGIpGSi2ynG91ln0fqz9iE/edit#gid=1364213386?usp=sharing"",""1-12每月!$I15"")"),29594.0)</f>
        <v>29594</v>
      </c>
      <c r="AD15" s="83">
        <f>IFERROR(__xludf.DUMMYFUNCTION("IMPORTRANGE(""https://docs.google.com/spreadsheets/d/1xUhm-MtqzfUO8M5WEWVv9w2EFkv5_PHMOsAlA3CcCWU/edit#gid=1700470961?usp=sharing"",""1-12每月!$I15"")"),29478.0)</f>
        <v>29478</v>
      </c>
      <c r="AE15" s="83">
        <f>IFERROR(__xludf.DUMMYFUNCTION("IMPORTRANGE(""https://docs.google.com/spreadsheets/d/1DP8wl0QQLYSZ8R2aQ8wNmiAUXn7lVrqMsdTccpBmnQc/edit#gid=1145593933?usp=sharing"",""1-12每月!$I15"")"),20058.0)</f>
        <v>20058</v>
      </c>
      <c r="AF15" s="83">
        <f>IFERROR(__xludf.DUMMYFUNCTION("IMPORTRANGE(""https://docs.google.com/spreadsheets/d/17hbKAHrpKLEbG3r9s1Ay3fOGzvOBzSu3Bn_CD4JNLhY/edit#gid=756408948?usp=sharing"",""1-12每月!$I15"")"),17148.0)</f>
        <v>17148</v>
      </c>
      <c r="AG15" s="83">
        <f>IFERROR(__xludf.DUMMYFUNCTION("IMPORTRANGE(""https://docs.google.com/spreadsheets/d/1qeecSCKZ78ENQrsyUYpSNZqvo0-Y-uuGKFA1F06yLEM/edit#gid=874445072?usp=sharing"",""1-12每月!$I15"")"),23349.0)</f>
        <v>23349</v>
      </c>
      <c r="AH15" s="83">
        <f>IFERROR(__xludf.DUMMYFUNCTION("IMPORTRANGE(""https://docs.google.com/spreadsheets/d/1BSX0y1fIKw9-3VTr627UzGVjwKe74kwBkuFnvlaueNo/edit#gid=1113655470"",""1-12每月!$I15"")"),14893.0)</f>
        <v>14893</v>
      </c>
      <c r="AI15" s="83">
        <f>IFERROR(__xludf.DUMMYFUNCTION("IMPORTRANGE(""https://docs.google.com/spreadsheets/d/1bQzlrSGiVqBrfQ6FKnw67vhBELFgthonryGzmQabVFQ/edit#gid=1015697053?usp=sharing"",""1-12每月!$I15"")"),9246.0)</f>
        <v>9246</v>
      </c>
      <c r="AJ15" s="83">
        <f>IFERROR(__xludf.DUMMYFUNCTION("IMPORTRANGE(""https://docs.google.com/spreadsheets/d/1Pem-mgCz4CF6EUKNVxDQx16g9jie0F5YNDQ_cPnMHYs"",""1-12每月!$I15"")"),21691.0)</f>
        <v>21691</v>
      </c>
      <c r="AK15" s="83">
        <f>IFERROR(__xludf.DUMMYFUNCTION("IMPORTRANGE(""https://docs.google.com/spreadsheets/d/1ZoRtUl0m9T3TpY8H-9-ntNBO_zrYrgNKuAe_XfTeFnU"",""1-12每月!$I15"")"),24316.0)</f>
        <v>24316</v>
      </c>
      <c r="AL15" s="83">
        <f>IFERROR(__xludf.DUMMYFUNCTION("IMPORTRANGE(""https://docs.google.com/spreadsheets/d/1Y9Uv46r1nA3ixCGwTWZqhGQWDt4KVX4iXmhJgHL5CGQ"",""1-12每月!$I15"")"),25246.0)</f>
        <v>25246</v>
      </c>
      <c r="AM15" s="114">
        <f>IFERROR(__xludf.DUMMYFUNCTION("IMPORTRANGE(""https://docs.google.com/spreadsheets/d/1E3X732-CKfouAVQOwKyrePWwI1Bwg9NHD0VD42lyiu4/edit?gid=1513765949#gid=1513765949"",""1-12每月!$I15"")"),0.0)</f>
        <v>0</v>
      </c>
      <c r="AN15" s="115"/>
      <c r="AO15" s="115"/>
      <c r="AP15" s="115"/>
      <c r="AQ15" s="115"/>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IFERROR(__xludf.DUMMYFUNCTION("IMPORTRANGE(""https://docs.google.com/spreadsheets/d/1dffLfsI-BGVz-K0zdrsWfGaqrFfoLJAhq001merp6Rk/edit?usp=sharing"",""1-12每月!$I16"")"),19367.0)</f>
        <v>19367</v>
      </c>
      <c r="N16" s="83">
        <f>IFERROR(__xludf.DUMMYFUNCTION("IMPORTRANGE(""https://docs.google.com/spreadsheets/d/1SzxpZPUDnwxS8mSOLGEH5NbWU7ZW_VcRmIn7psOvuTs/edit#gid=1650312294?usp=sharing"",""1-12每月!$I16"")"),26841.0)</f>
        <v>26841</v>
      </c>
      <c r="O16" s="83">
        <f>IFERROR(__xludf.DUMMYFUNCTION("IMPORTRANGE(""https://docs.google.com/spreadsheets/d/1ta9i7cAkOPF0LapwmU_YEDA4IPQvKNuaYVMY8vIVPwI/edit#gid=1607741572?usp=sharing"",""1-12每月!$I16"")"),7801.0)</f>
        <v>7801</v>
      </c>
      <c r="P16" s="83">
        <f>IFERROR(__xludf.DUMMYFUNCTION("IMPORTRANGE(""https://docs.google.com/spreadsheets/d/1f4WWQfcNBonYqfzcaBhJlHzPwh34sx4U6naz-Aw2G4I/edit#gid=2097425894?usp=sharing"",""1-12每月!$I16"")"),4972.0)</f>
        <v>4972</v>
      </c>
      <c r="Q16" s="83">
        <f>IFERROR(__xludf.DUMMYFUNCTION("IMPORTRANGE(""https://docs.google.com/spreadsheets/d/1pCmmgCj7Y_SQPZLsiVd3yvND9oLyryVfBwNxC6OUwm8/edit#gid=170549058?usp=sharing"",""1-12每月!$I16"")"),13816.0)</f>
        <v>13816</v>
      </c>
      <c r="R16" s="83">
        <f>IFERROR(__xludf.DUMMYFUNCTION("IMPORTRANGE(""https://docs.google.com/spreadsheets/d/1hrRqxxacrLITR_JGMRVbhSRCIZIU8gAv0o_aOkHz68M/edit#gid=763155734?usp=sharing"",""1-12每月!$I16"")"),14533.0)</f>
        <v>14533</v>
      </c>
      <c r="S16" s="83">
        <f>IFERROR(__xludf.DUMMYFUNCTION("IMPORTRANGE(""https://docs.google.com/spreadsheets/d/1AKS3XWcgwNLFRbGU-lJ3UBHDQNdglvKwrv4_Bpp1IjU/edit#gid=73116376?usp=sharing"",""1-12每月!$H16"")"),31090.0)</f>
        <v>31090</v>
      </c>
      <c r="T16" s="83">
        <f>IFERROR(__xludf.DUMMYFUNCTION("IMPORTRANGE(""https://docs.google.com/spreadsheets/d/1wGGXGHkWT5JsjUDTy4FnHN_O9ae4MADbMykqIWVThNc/edit#gid=297806252?usp=sharing"",""1-12每月!$H16"")"),18759.0)</f>
        <v>18759</v>
      </c>
      <c r="U16" s="83">
        <f>IFERROR(__xludf.DUMMYFUNCTION("IMPORTRANGE(""https://docs.google.com/spreadsheets/d/1ShTgtQQDjMKpYx-TJ_lwdxnWSzJNUcNnzR3fJjoaZec/edit#gid=66107904?usp=sharing"",""1-12每月!$H16"")"),21954.0)</f>
        <v>21954</v>
      </c>
      <c r="V16" s="83">
        <f>IFERROR(__xludf.DUMMYFUNCTION("IMPORTRANGE(""https://docs.google.com/spreadsheets/d/1_eyuyKbXFCJd6fVFEKQwugwYCbRCmmWN_M7XR1dtOb8/edit#gid=951918895?usp=sharing"",""1-12每月!$H16"")"),28828.0)</f>
        <v>28828</v>
      </c>
      <c r="W16" s="83">
        <f>IFERROR(__xludf.DUMMYFUNCTION("IMPORTRANGE(""https://docs.google.com/spreadsheets/d/1yEpHI9_Y4w8sRmPP9C-mYK4NMfVuTJifGLMj4FMdqek/edit#gid=799087919?usp=sharing"",""1-12每月!$H16"")"),54349.0)</f>
        <v>54349</v>
      </c>
      <c r="X16" s="83">
        <f>IFERROR(__xludf.DUMMYFUNCTION("IMPORTRANGE(""https://docs.google.com/spreadsheets/d/1Vbyb9GlrY6jOwvoGyZFB96f7WXYjkT6gvTE37DPDXDI/edit#gid=9591526?usp=sharing"",""1-12每月!$H16"")"),70690.0)</f>
        <v>70690</v>
      </c>
      <c r="Y16" s="83">
        <f>IFERROR(__xludf.DUMMYFUNCTION("IMPORTRANGE(""https://docs.google.com/spreadsheets/d/1qeckoJwzWQAg8zQ80D-QJP4pnVYH6l2juaUyHtOu6y8/edit#gid=1905704096?usp=sharing"",""1-12每月!$H16"")"),66915.0)</f>
        <v>66915</v>
      </c>
      <c r="Z16" s="83">
        <f>IFERROR(__xludf.DUMMYFUNCTION("IMPORTRANGE(""https://docs.google.com/spreadsheets/d/1BcbIi7AD1VDpy_wMQ0YjCG-iuQy0_tkCVqr72a0Pwbg/edit#gid=1099513714?usp=sharing"",""1-12每月!$H16"")"),180354.0)</f>
        <v>180354</v>
      </c>
      <c r="AA16" s="83">
        <f>IFERROR(__xludf.DUMMYFUNCTION("IMPORTRANGE(""https://docs.google.com/spreadsheets/d/1cIFCQPaYiOmIt2O3vkEx5eto8sfRtx3JtAWJ1fv31HI/edit#gid=432689709?usp=sharing"",""1-12每月!$H16"")"),208710.0)</f>
        <v>208710</v>
      </c>
      <c r="AB16" s="83">
        <f>IFERROR(__xludf.DUMMYFUNCTION("IMPORTRANGE(""https://docs.google.com/spreadsheets/d/1C8ECYlbes2CJkHHGOAyOYVfrP7PdlGr8RMjK7KZd0_o/edit#gid=495469277?usp=sharing"",""1-12每月!$H16"")"),16581.0)</f>
        <v>16581</v>
      </c>
      <c r="AC16" s="83">
        <f>IFERROR(__xludf.DUMMYFUNCTION("IMPORTRANGE(""https://docs.google.com/spreadsheets/d/1ettcrhLPK6tkvHZxDTyU2bGIpGSi2ynG91ln0fqz9iE/edit#gid=1364213386?usp=sharing"",""1-12每月!$I16"")"),29470.0)</f>
        <v>29470</v>
      </c>
      <c r="AD16" s="83">
        <f>IFERROR(__xludf.DUMMYFUNCTION("IMPORTRANGE(""https://docs.google.com/spreadsheets/d/1xUhm-MtqzfUO8M5WEWVv9w2EFkv5_PHMOsAlA3CcCWU/edit#gid=1700470961?usp=sharing"",""1-12每月!$I16"")"),32643.0)</f>
        <v>32643</v>
      </c>
      <c r="AE16" s="83">
        <f>IFERROR(__xludf.DUMMYFUNCTION("IMPORTRANGE(""https://docs.google.com/spreadsheets/d/1DP8wl0QQLYSZ8R2aQ8wNmiAUXn7lVrqMsdTccpBmnQc/edit#gid=1145593933?usp=sharing"",""1-12每月!$I16"")"),27983.0)</f>
        <v>27983</v>
      </c>
      <c r="AF16" s="83">
        <f>IFERROR(__xludf.DUMMYFUNCTION("IMPORTRANGE(""https://docs.google.com/spreadsheets/d/17hbKAHrpKLEbG3r9s1Ay3fOGzvOBzSu3Bn_CD4JNLhY/edit#gid=756408948?usp=sharing"",""1-12每月!$I16"")"),16166.0)</f>
        <v>16166</v>
      </c>
      <c r="AG16" s="83">
        <f>IFERROR(__xludf.DUMMYFUNCTION("IMPORTRANGE(""https://docs.google.com/spreadsheets/d/1qeecSCKZ78ENQrsyUYpSNZqvo0-Y-uuGKFA1F06yLEM/edit#gid=874445072?usp=sharing"",""1-12每月!$I16"")"),8117.0)</f>
        <v>8117</v>
      </c>
      <c r="AH16" s="83">
        <f>IFERROR(__xludf.DUMMYFUNCTION("IMPORTRANGE(""https://docs.google.com/spreadsheets/d/1BSX0y1fIKw9-3VTr627UzGVjwKe74kwBkuFnvlaueNo/edit#gid=1113655470"",""1-12每月!$I16"")"),13865.0)</f>
        <v>13865</v>
      </c>
      <c r="AI16" s="83">
        <f>IFERROR(__xludf.DUMMYFUNCTION("IMPORTRANGE(""https://docs.google.com/spreadsheets/d/1bQzlrSGiVqBrfQ6FKnw67vhBELFgthonryGzmQabVFQ/edit#gid=1015697053?usp=sharing"",""1-12每月!$I16"")"),10993.0)</f>
        <v>10993</v>
      </c>
      <c r="AJ16" s="83">
        <f>IFERROR(__xludf.DUMMYFUNCTION("IMPORTRANGE(""https://docs.google.com/spreadsheets/d/1Pem-mgCz4CF6EUKNVxDQx16g9jie0F5YNDQ_cPnMHYs"",""1-12每月!$I16"")"),18698.0)</f>
        <v>18698</v>
      </c>
      <c r="AK16" s="83">
        <f>IFERROR(__xludf.DUMMYFUNCTION("IMPORTRANGE(""https://docs.google.com/spreadsheets/d/1ZoRtUl0m9T3TpY8H-9-ntNBO_zrYrgNKuAe_XfTeFnU"",""1-12每月!$I16"")"),28242.0)</f>
        <v>28242</v>
      </c>
      <c r="AL16" s="83">
        <f>IFERROR(__xludf.DUMMYFUNCTION("IMPORTRANGE(""https://docs.google.com/spreadsheets/d/1Y9Uv46r1nA3ixCGwTWZqhGQWDt4KVX4iXmhJgHL5CGQ"",""1-12每月!$I16"")"),24670.0)</f>
        <v>24670</v>
      </c>
      <c r="AM16" s="114">
        <f>IFERROR(__xludf.DUMMYFUNCTION("IMPORTRANGE(""https://docs.google.com/spreadsheets/d/1E3X732-CKfouAVQOwKyrePWwI1Bwg9NHD0VD42lyiu4/edit?gid=1513765949#gid=1513765949"",""1-12每月!$I16"")"),0.0)</f>
        <v>0</v>
      </c>
      <c r="AN16" s="115"/>
      <c r="AO16" s="115"/>
      <c r="AP16" s="115"/>
      <c r="AQ16" s="115"/>
      <c r="AR16" s="108"/>
    </row>
    <row r="17" ht="15.75" customHeight="1">
      <c r="A17" s="86" t="s">
        <v>45</v>
      </c>
      <c r="B17" s="87"/>
      <c r="C17" s="87"/>
      <c r="D17" s="87"/>
      <c r="E17" s="87"/>
      <c r="F17" s="87"/>
      <c r="G17" s="87"/>
      <c r="H17" s="87"/>
      <c r="I17" s="87"/>
      <c r="J17" s="87"/>
      <c r="K17" s="87"/>
      <c r="L17" s="87"/>
      <c r="M17" s="87">
        <f t="shared" ref="M17:AR17" si="1">SUM(M5:M16)</f>
        <v>324668</v>
      </c>
      <c r="N17" s="87">
        <f t="shared" si="1"/>
        <v>322417</v>
      </c>
      <c r="O17" s="87">
        <f t="shared" si="1"/>
        <v>250168</v>
      </c>
      <c r="P17" s="87">
        <f t="shared" si="1"/>
        <v>165183</v>
      </c>
      <c r="Q17" s="87">
        <f t="shared" si="1"/>
        <v>365363</v>
      </c>
      <c r="R17" s="87">
        <f t="shared" si="1"/>
        <v>453344</v>
      </c>
      <c r="S17" s="87">
        <f t="shared" si="1"/>
        <v>394612</v>
      </c>
      <c r="T17" s="87">
        <f t="shared" si="1"/>
        <v>245306</v>
      </c>
      <c r="U17" s="87">
        <f t="shared" si="1"/>
        <v>289070</v>
      </c>
      <c r="V17" s="87">
        <f t="shared" si="1"/>
        <v>384874</v>
      </c>
      <c r="W17" s="87">
        <f t="shared" si="1"/>
        <v>657048</v>
      </c>
      <c r="X17" s="87">
        <f t="shared" si="1"/>
        <v>686641</v>
      </c>
      <c r="Y17" s="87">
        <f t="shared" si="1"/>
        <v>994284.88</v>
      </c>
      <c r="Z17" s="87">
        <f t="shared" si="1"/>
        <v>1619248</v>
      </c>
      <c r="AA17" s="87">
        <f t="shared" si="1"/>
        <v>3239168</v>
      </c>
      <c r="AB17" s="87">
        <f t="shared" si="1"/>
        <v>632564</v>
      </c>
      <c r="AC17" s="87">
        <f t="shared" si="1"/>
        <v>519630</v>
      </c>
      <c r="AD17" s="87">
        <f t="shared" si="1"/>
        <v>339088</v>
      </c>
      <c r="AE17" s="87">
        <f t="shared" si="1"/>
        <v>291964.87</v>
      </c>
      <c r="AF17" s="87">
        <f t="shared" si="1"/>
        <v>289220</v>
      </c>
      <c r="AG17" s="87">
        <f t="shared" si="1"/>
        <v>225923</v>
      </c>
      <c r="AH17" s="87">
        <f t="shared" si="1"/>
        <v>130905</v>
      </c>
      <c r="AI17" s="87">
        <f t="shared" si="1"/>
        <v>122083</v>
      </c>
      <c r="AJ17" s="87">
        <f t="shared" si="1"/>
        <v>200137</v>
      </c>
      <c r="AK17" s="87">
        <f t="shared" si="1"/>
        <v>308076</v>
      </c>
      <c r="AL17" s="87">
        <f t="shared" si="1"/>
        <v>358301</v>
      </c>
      <c r="AM17" s="87">
        <f t="shared" si="1"/>
        <v>104969</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-0.006933236414</v>
      </c>
      <c r="O18" s="90">
        <f t="shared" si="2"/>
        <v>-0.2240855786</v>
      </c>
      <c r="P18" s="90">
        <f t="shared" si="2"/>
        <v>-0.3397117137</v>
      </c>
      <c r="Q18" s="90">
        <f t="shared" si="2"/>
        <v>1.211868049</v>
      </c>
      <c r="R18" s="90">
        <f t="shared" si="2"/>
        <v>0.2408043507</v>
      </c>
      <c r="S18" s="90">
        <f t="shared" si="2"/>
        <v>-0.1295528341</v>
      </c>
      <c r="T18" s="90">
        <f t="shared" si="2"/>
        <v>-0.3783615298</v>
      </c>
      <c r="U18" s="90">
        <f t="shared" si="2"/>
        <v>0.1784057463</v>
      </c>
      <c r="V18" s="90">
        <f t="shared" si="2"/>
        <v>0.331421455</v>
      </c>
      <c r="W18" s="90">
        <f t="shared" si="2"/>
        <v>0.7071768943</v>
      </c>
      <c r="X18" s="90">
        <f t="shared" si="2"/>
        <v>0.04503932742</v>
      </c>
      <c r="Y18" s="90">
        <f t="shared" si="2"/>
        <v>0.4480418152</v>
      </c>
      <c r="Z18" s="90">
        <f t="shared" si="2"/>
        <v>0.6285553895</v>
      </c>
      <c r="AA18" s="90">
        <f t="shared" si="2"/>
        <v>1.000415007</v>
      </c>
      <c r="AB18" s="90">
        <f t="shared" si="2"/>
        <v>-0.80471405</v>
      </c>
      <c r="AC18" s="90">
        <f t="shared" si="2"/>
        <v>-0.1785337136</v>
      </c>
      <c r="AD18" s="90">
        <f t="shared" ref="AD18:AR18" si="3">IF(AC17=0,0,(AD17-AC17)/AC17)</f>
        <v>-0.3474433732</v>
      </c>
      <c r="AE18" s="90">
        <f t="shared" si="3"/>
        <v>-0.1389702083</v>
      </c>
      <c r="AF18" s="90">
        <f t="shared" si="3"/>
        <v>-0.009401370788</v>
      </c>
      <c r="AG18" s="90">
        <f t="shared" si="3"/>
        <v>-0.2188541595</v>
      </c>
      <c r="AH18" s="90">
        <f t="shared" si="3"/>
        <v>-0.4205769222</v>
      </c>
      <c r="AI18" s="90">
        <f t="shared" si="3"/>
        <v>-0.06739238379</v>
      </c>
      <c r="AJ18" s="90">
        <f t="shared" si="3"/>
        <v>0.6393519163</v>
      </c>
      <c r="AK18" s="90">
        <f t="shared" si="3"/>
        <v>0.539325562</v>
      </c>
      <c r="AL18" s="90">
        <f t="shared" si="3"/>
        <v>0.1630279541</v>
      </c>
      <c r="AM18" s="90">
        <f t="shared" si="3"/>
        <v>-0.707036821</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147</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110" t="s">
        <v>148</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149</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110" t="s">
        <v>127</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row>
    <row r="24" ht="15.75" customHeight="1">
      <c r="A24" s="110" t="s">
        <v>128</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102</v>
      </c>
      <c r="AD24" s="92">
        <f t="shared" ref="AD24:AE24" si="4">SUM(AD$5:AD$6)</f>
        <v>62480</v>
      </c>
      <c r="AE24" s="92">
        <f t="shared" si="4"/>
        <v>44979</v>
      </c>
      <c r="AF24" s="77"/>
      <c r="AG24" s="77"/>
      <c r="AH24" s="77"/>
      <c r="AI24" s="77"/>
      <c r="AJ24" s="77"/>
      <c r="AK24" s="77"/>
      <c r="AL24" s="77"/>
      <c r="AM24" s="77"/>
      <c r="AN24" s="77"/>
      <c r="AO24" s="77"/>
      <c r="AP24" s="77"/>
      <c r="AQ24" s="77"/>
      <c r="AR24" s="77"/>
    </row>
    <row r="25" ht="15.75" customHeight="1">
      <c r="A25" s="77" t="s">
        <v>105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t="s">
        <v>104</v>
      </c>
      <c r="AD25" s="92">
        <f t="shared" ref="AD25:AE25" si="5">SUM(AD$7:AD$11)</f>
        <v>130539</v>
      </c>
      <c r="AE25" s="92">
        <f t="shared" si="5"/>
        <v>127561.87</v>
      </c>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2" width="3.67"/>
    <col customWidth="1" min="13" max="13" width="9.11"/>
    <col customWidth="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4" width="9.11"/>
  </cols>
  <sheetData>
    <row r="1" ht="15.75" customHeight="1">
      <c r="A1" s="74" t="s">
        <v>150</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151</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IFERROR(__xludf.DUMMYFUNCTION("IMPORTRANGE(""https://docs.google.com/spreadsheets/d/1dffLfsI-BGVz-K0zdrsWfGaqrFfoLJAhq001merp6Rk/edit?usp=sharing"",""1-12每月!$J5"")"),338.0)</f>
        <v>338</v>
      </c>
      <c r="N5" s="83">
        <f>IFERROR(__xludf.DUMMYFUNCTION("IMPORTRANGE(""https://docs.google.com/spreadsheets/d/1SzxpZPUDnwxS8mSOLGEH5NbWU7ZW_VcRmIn7psOvuTs/edit#gid=1650312294?usp=sharing"",""1-12每月!$J5"")"),1724.0)</f>
        <v>1724</v>
      </c>
      <c r="O5" s="83">
        <f>IFERROR(__xludf.DUMMYFUNCTION("IMPORTRANGE(""https://docs.google.com/spreadsheets/d/1ta9i7cAkOPF0LapwmU_YEDA4IPQvKNuaYVMY8vIVPwI/edit#gid=1607741572?usp=sharing"",""1-12每月!$J5"")"),38.0)</f>
        <v>38</v>
      </c>
      <c r="P5" s="83">
        <f>IFERROR(__xludf.DUMMYFUNCTION("IMPORTRANGE(""https://docs.google.com/spreadsheets/d/1f4WWQfcNBonYqfzcaBhJlHzPwh34sx4U6naz-Aw2G4I/edit#gid=2097425894?usp=sharing"",""1-12每月!$J5"")"),33.0)</f>
        <v>33</v>
      </c>
      <c r="Q5" s="83">
        <f>IFERROR(__xludf.DUMMYFUNCTION("IMPORTRANGE(""https://docs.google.com/spreadsheets/d/1pCmmgCj7Y_SQPZLsiVd3yvND9oLyryVfBwNxC6OUwm8/edit#gid=170549058?usp=sharing"",""1-12每月!$J5"")"),4738.0)</f>
        <v>4738</v>
      </c>
      <c r="R5" s="83">
        <f>IFERROR(__xludf.DUMMYFUNCTION("IMPORTRANGE(""https://docs.google.com/spreadsheets/d/1hrRqxxacrLITR_JGMRVbhSRCIZIU8gAv0o_aOkHz68M/edit#gid=763155734?usp=sharing"",""1-12每月!$J5"")"),25.0)</f>
        <v>25</v>
      </c>
      <c r="S5" s="83">
        <f>IFERROR(__xludf.DUMMYFUNCTION("IMPORTRANGE(""https://docs.google.com/spreadsheets/d/1AKS3XWcgwNLFRbGU-lJ3UBHDQNdglvKwrv4_Bpp1IjU/edit#gid=73116376?usp=sharing"",""1-12每月!$I5"")"),407.0)</f>
        <v>407</v>
      </c>
      <c r="T5" s="83">
        <f>IFERROR(__xludf.DUMMYFUNCTION("IMPORTRANGE(""https://docs.google.com/spreadsheets/d/1wGGXGHkWT5JsjUDTy4FnHN_O9ae4MADbMykqIWVThNc/edit#gid=297806252"",""1-12每月!$I5"")"),26.0)</f>
        <v>26</v>
      </c>
      <c r="U5" s="83">
        <f>IFERROR(__xludf.DUMMYFUNCTION("IMPORTRANGE(""https://docs.google.com/spreadsheets/d/1ShTgtQQDjMKpYx-TJ_lwdxnWSzJNUcNnzR3fJjoaZec/edit#gid=66107904"",""1-12每月!$I5"")"),107.0)</f>
        <v>107</v>
      </c>
      <c r="V5" s="83">
        <f>IFERROR(__xludf.DUMMYFUNCTION("IMPORTRANGE(""https://docs.google.com/spreadsheets/d/1_eyuyKbXFCJd6fVFEKQwugwYCbRCmmWN_M7XR1dtOb8/edit#gid=951918895"",""1-12每月!$I5"")"),386.0)</f>
        <v>386</v>
      </c>
      <c r="W5" s="83">
        <f>IFERROR(__xludf.DUMMYFUNCTION("IMPORTRANGE(""https://docs.google.com/spreadsheets/d/1yEpHI9_Y4w8sRmPP9C-mYK4NMfVuTJifGLMj4FMdqek/edit#gid=799087919"",""1-12每月!$I5"")"),595.0)</f>
        <v>595</v>
      </c>
      <c r="X5" s="83">
        <f>IFERROR(__xludf.DUMMYFUNCTION("IMPORTRANGE(""https://docs.google.com/spreadsheets/d/1Vbyb9GlrY6jOwvoGyZFB96f7WXYjkT6gvTE37DPDXDI/edit#gid=9591526"",""1-12每月!$I5"")"),344.0)</f>
        <v>344</v>
      </c>
      <c r="Y5" s="83">
        <f>IFERROR(__xludf.DUMMYFUNCTION("IMPORTRANGE(""https://docs.google.com/spreadsheets/d/1qeckoJwzWQAg8zQ80D-QJP4pnVYH6l2juaUyHtOu6y8/edit#gid=1905704096"",""1-12每月!$I5"")"),288.0)</f>
        <v>288</v>
      </c>
      <c r="Z5" s="83">
        <f>IFERROR(__xludf.DUMMYFUNCTION("IMPORTRANGE(""https://docs.google.com/spreadsheets/d/1BcbIi7AD1VDpy_wMQ0YjCG-iuQy0_tkCVqr72a0Pwbg/edit#gid=1099513714"",""1-12每月!$I5"")"),0.0)</f>
        <v>0</v>
      </c>
      <c r="AA5" s="83">
        <f>IFERROR(__xludf.DUMMYFUNCTION("IMPORTRANGE(""https://docs.google.com/spreadsheets/d/1cIFCQPaYiOmIt2O3vkEx5eto8sfRtx3JtAWJ1fv31HI/edit#gid=432689709"",""1-12每月!$I5"")"),372.0)</f>
        <v>372</v>
      </c>
      <c r="AB5" s="83">
        <f>IFERROR(__xludf.DUMMYFUNCTION("IMPORTRANGE(""https://docs.google.com/spreadsheets/d/1C8ECYlbes2CJkHHGOAyOYVfrP7PdlGr8RMjK7KZd0_o/edit#gid=495469277"",""1-12每月!$I5"")"),0.0)</f>
        <v>0</v>
      </c>
      <c r="AC5" s="83">
        <f>IFERROR(__xludf.DUMMYFUNCTION("IMPORTRANGE(""https://docs.google.com/spreadsheets/d/1ettcrhLPK6tkvHZxDTyU2bGIpGSi2ynG91ln0fqz9iE/edit#gid=1364213386"",""1-12每月!$J5"")"),9053.0)</f>
        <v>9053</v>
      </c>
      <c r="AD5" s="83">
        <f>IFERROR(__xludf.DUMMYFUNCTION("IMPORTRANGE(""https://docs.google.com/spreadsheets/d/1xUhm-MtqzfUO8M5WEWVv9w2EFkv5_PHMOsAlA3CcCWU/edit#gid=1700470961"",""1-12每月!$J5"")"),3821.0)</f>
        <v>3821</v>
      </c>
      <c r="AE5" s="83">
        <f>IFERROR(__xludf.DUMMYFUNCTION("IMPORTRANGE(""https://docs.google.com/spreadsheets/d/1DP8wl0QQLYSZ8R2aQ8wNmiAUXn7lVrqMsdTccpBmnQc/edit#gid=1145593933"",""1-12每月!$J5"")"),4550.0)</f>
        <v>4550</v>
      </c>
      <c r="AF5" s="83">
        <f>IFERROR(__xludf.DUMMYFUNCTION("IMPORTRANGE(""https://docs.google.com/spreadsheets/d/17hbKAHrpKLEbG3r9s1Ay3fOGzvOBzSu3Bn_CD4JNLhY/edit#gid=756408948"",""1-12每月!$J5"")"),5628.0)</f>
        <v>5628</v>
      </c>
      <c r="AG5" s="83">
        <f>IFERROR(__xludf.DUMMYFUNCTION("IMPORTRANGE(""https://docs.google.com/spreadsheets/d/1qeecSCKZ78ENQrsyUYpSNZqvo0-Y-uuGKFA1F06yLEM/edit#gid=874445072"",""1-12每月!$J5"")"),2309.0)</f>
        <v>2309</v>
      </c>
      <c r="AH5" s="83">
        <f>IFERROR(__xludf.DUMMYFUNCTION("IMPORTRANGE(""https://docs.google.com/spreadsheets/d/1BSX0y1fIKw9-3VTr627UzGVjwKe74kwBkuFnvlaueNo/edit#gid=1113655470"",""1-12每月!$J5"")"),0.0)</f>
        <v>0</v>
      </c>
      <c r="AI5" s="83">
        <f>IFERROR(__xludf.DUMMYFUNCTION("IMPORTRANGE(""https://docs.google.com/spreadsheets/d/1bQzlrSGiVqBrfQ6FKnw67vhBELFgthonryGzmQabVFQ/edit#gid=1015697053"",""1-12每月!$J5"")"),0.0)</f>
        <v>0</v>
      </c>
      <c r="AJ5" s="83">
        <f>IFERROR(__xludf.DUMMYFUNCTION("IMPORTRANGE(""https://docs.google.com/spreadsheets/d/1Pem-mgCz4CF6EUKNVxDQx16g9jie0F5YNDQ_cPnMHYs"",""1-12每月!$J5"")"),0.0)</f>
        <v>0</v>
      </c>
      <c r="AK5" s="83">
        <f>IFERROR(__xludf.DUMMYFUNCTION("IMPORTRANGE(""https://docs.google.com/spreadsheets/d/1vJAs96IxW8FL300pnltJg7cCxB3F0B06ZPuRBX-QGJU/edit?gid=168918860#gid=168918860"",""1-12每月!$J5"")"),0.0)</f>
        <v>0</v>
      </c>
      <c r="AL5" s="83"/>
      <c r="AM5" s="114"/>
      <c r="AN5" s="114"/>
      <c r="AO5" s="114"/>
      <c r="AP5" s="114"/>
      <c r="AQ5" s="114"/>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IFERROR(__xludf.DUMMYFUNCTION("IMPORTRANGE(""https://docs.google.com/spreadsheets/d/1dffLfsI-BGVz-K0zdrsWfGaqrFfoLJAhq001merp6Rk/edit?usp=sharing"",""1-12每月!$J6"")"),523.0)</f>
        <v>523</v>
      </c>
      <c r="N6" s="83">
        <f>IFERROR(__xludf.DUMMYFUNCTION("IMPORTRANGE(""https://docs.google.com/spreadsheets/d/1SzxpZPUDnwxS8mSOLGEH5NbWU7ZW_VcRmIn7psOvuTs/edit#gid=1650312294?usp=sharing"",""1-12每月!$J6"")"),514.0)</f>
        <v>514</v>
      </c>
      <c r="O6" s="83">
        <f>IFERROR(__xludf.DUMMYFUNCTION("IMPORTRANGE(""https://docs.google.com/spreadsheets/d/1ta9i7cAkOPF0LapwmU_YEDA4IPQvKNuaYVMY8vIVPwI/edit#gid=1607741572?usp=sharing"",""1-12每月!$J6"")"),226.0)</f>
        <v>226</v>
      </c>
      <c r="P6" s="83">
        <f>IFERROR(__xludf.DUMMYFUNCTION("IMPORTRANGE(""https://docs.google.com/spreadsheets/d/1f4WWQfcNBonYqfzcaBhJlHzPwh34sx4U6naz-Aw2G4I/edit#gid=2097425894?usp=sharing"",""1-12每月!$J6"")"),5304.0)</f>
        <v>5304</v>
      </c>
      <c r="Q6" s="83">
        <f>IFERROR(__xludf.DUMMYFUNCTION("IMPORTRANGE(""https://docs.google.com/spreadsheets/d/1pCmmgCj7Y_SQPZLsiVd3yvND9oLyryVfBwNxC6OUwm8/edit#gid=170549058?usp=sharing"",""1-12每月!$J6"")"),1740.0)</f>
        <v>1740</v>
      </c>
      <c r="R6" s="83">
        <f>IFERROR(__xludf.DUMMYFUNCTION("IMPORTRANGE(""https://docs.google.com/spreadsheets/d/1hrRqxxacrLITR_JGMRVbhSRCIZIU8gAv0o_aOkHz68M/edit#gid=763155734?usp=sharing"",""1-12每月!$J6"")"),502.0)</f>
        <v>502</v>
      </c>
      <c r="S6" s="83">
        <f>IFERROR(__xludf.DUMMYFUNCTION("IMPORTRANGE(""https://docs.google.com/spreadsheets/d/1AKS3XWcgwNLFRbGU-lJ3UBHDQNdglvKwrv4_Bpp1IjU/edit#gid=73116376?usp=sharing"",""1-12每月!$I6"")"),228.0)</f>
        <v>228</v>
      </c>
      <c r="T6" s="83">
        <f>IFERROR(__xludf.DUMMYFUNCTION("IMPORTRANGE(""https://docs.google.com/spreadsheets/d/1wGGXGHkWT5JsjUDTy4FnHN_O9ae4MADbMykqIWVThNc/edit#gid=297806252?usp=sharing"",""1-12每月!$I6"")"),894.0)</f>
        <v>894</v>
      </c>
      <c r="U6" s="83">
        <f>IFERROR(__xludf.DUMMYFUNCTION("IMPORTRANGE(""https://docs.google.com/spreadsheets/d/1ShTgtQQDjMKpYx-TJ_lwdxnWSzJNUcNnzR3fJjoaZec/edit#gid=66107904?usp=sharing"",""1-12每月!$I6"")"),202.0)</f>
        <v>202</v>
      </c>
      <c r="V6" s="83">
        <f>IFERROR(__xludf.DUMMYFUNCTION("IMPORTRANGE(""https://docs.google.com/spreadsheets/d/1_eyuyKbXFCJd6fVFEKQwugwYCbRCmmWN_M7XR1dtOb8/edit#gid=951918895?usp=sharing"",""1-12每月!$I6"")"),10.0)</f>
        <v>10</v>
      </c>
      <c r="W6" s="83">
        <f>IFERROR(__xludf.DUMMYFUNCTION("IMPORTRANGE(""https://docs.google.com/spreadsheets/d/1yEpHI9_Y4w8sRmPP9C-mYK4NMfVuTJifGLMj4FMdqek/edit#gid=799087919?usp=sharing"",""1-12每月!$I6"")"),7690.0)</f>
        <v>7690</v>
      </c>
      <c r="X6" s="83">
        <f>IFERROR(__xludf.DUMMYFUNCTION("IMPORTRANGE(""https://docs.google.com/spreadsheets/d/1Vbyb9GlrY6jOwvoGyZFB96f7WXYjkT6gvTE37DPDXDI/edit#gid=9591526?usp=sharing"",""1-12每月!$I6"")"),3496.0)</f>
        <v>3496</v>
      </c>
      <c r="Y6" s="83">
        <f>IFERROR(__xludf.DUMMYFUNCTION("IMPORTRANGE(""https://docs.google.com/spreadsheets/d/1qeckoJwzWQAg8zQ80D-QJP4pnVYH6l2juaUyHtOu6y8/edit#gid=1905704096?usp=sharing"",""1-12每月!$I6"")"),510.0)</f>
        <v>510</v>
      </c>
      <c r="Z6" s="83">
        <f>IFERROR(__xludf.DUMMYFUNCTION("IMPORTRANGE(""https://docs.google.com/spreadsheets/d/1BcbIi7AD1VDpy_wMQ0YjCG-iuQy0_tkCVqr72a0Pwbg/edit#gid=1099513714?usp=sharing"",""1-12每月!$I6"")"),8356.0)</f>
        <v>8356</v>
      </c>
      <c r="AA6" s="83">
        <f>IFERROR(__xludf.DUMMYFUNCTION("IMPORTRANGE(""https://docs.google.com/spreadsheets/d/1cIFCQPaYiOmIt2O3vkEx5eto8sfRtx3JtAWJ1fv31HI/edit#gid=432689709?usp=sharing"",""1-12每月!$I6"")"),4824.0)</f>
        <v>4824</v>
      </c>
      <c r="AB6" s="83">
        <f>IFERROR(__xludf.DUMMYFUNCTION("IMPORTRANGE(""https://docs.google.com/spreadsheets/d/1C8ECYlbes2CJkHHGOAyOYVfrP7PdlGr8RMjK7KZd0_o/edit#gid=495469277?usp=sharing"",""1-12每月!$I6"")"),0.0)</f>
        <v>0</v>
      </c>
      <c r="AC6" s="83">
        <f>IFERROR(__xludf.DUMMYFUNCTION("IMPORTRANGE(""https://docs.google.com/spreadsheets/d/1ettcrhLPK6tkvHZxDTyU2bGIpGSi2ynG91ln0fqz9iE/edit#gid=1364213386?usp=sharing"",""1-12每月!$J6"")"),10183.0)</f>
        <v>10183</v>
      </c>
      <c r="AD6" s="83">
        <f>IFERROR(__xludf.DUMMYFUNCTION("IMPORTRANGE(""https://docs.google.com/spreadsheets/d/1xUhm-MtqzfUO8M5WEWVv9w2EFkv5_PHMOsAlA3CcCWU/edit#gid=1700470961?usp=sharing"",""1-12每月!$J6"")"),3938.0)</f>
        <v>3938</v>
      </c>
      <c r="AE6" s="83">
        <f>IFERROR(__xludf.DUMMYFUNCTION("IMPORTRANGE(""https://docs.google.com/spreadsheets/d/1DP8wl0QQLYSZ8R2aQ8wNmiAUXn7lVrqMsdTccpBmnQc/edit#gid=1145593933?usp=sharing"",""1-12每月!$J6"")"),1311.0)</f>
        <v>1311</v>
      </c>
      <c r="AF6" s="83">
        <f>IFERROR(__xludf.DUMMYFUNCTION("IMPORTRANGE(""https://docs.google.com/spreadsheets/d/17hbKAHrpKLEbG3r9s1Ay3fOGzvOBzSu3Bn_CD4JNLhY/edit#gid=756408948?usp=sharing"",""1-12每月!$J6"")"),7298.0)</f>
        <v>7298</v>
      </c>
      <c r="AG6" s="83">
        <f>IFERROR(__xludf.DUMMYFUNCTION("IMPORTRANGE(""https://docs.google.com/spreadsheets/d/1qeecSCKZ78ENQrsyUYpSNZqvo0-Y-uuGKFA1F06yLEM/edit#gid=874445072?usp=sharing"",""1-12每月!$J6"")"),16.0)</f>
        <v>16</v>
      </c>
      <c r="AH6" s="83">
        <f>IFERROR(__xludf.DUMMYFUNCTION("IMPORTRANGE(""https://docs.google.com/spreadsheets/d/1BSX0y1fIKw9-3VTr627UzGVjwKe74kwBkuFnvlaueNo/edit#gid=1113655470"",""1-12每月!$J6"")"),0.0)</f>
        <v>0</v>
      </c>
      <c r="AI6" s="83">
        <f>IFERROR(__xludf.DUMMYFUNCTION("IMPORTRANGE(""https://docs.google.com/spreadsheets/d/1bQzlrSGiVqBrfQ6FKnw67vhBELFgthonryGzmQabVFQ/edit#gid=1015697053"",""1-12每月!$J6"")"),0.0)</f>
        <v>0</v>
      </c>
      <c r="AJ6" s="83">
        <f>IFERROR(__xludf.DUMMYFUNCTION("IMPORTRANGE(""https://docs.google.com/spreadsheets/d/1Pem-mgCz4CF6EUKNVxDQx16g9jie0F5YNDQ_cPnMHYs"",""1-12每月!$J6"")"),0.0)</f>
        <v>0</v>
      </c>
      <c r="AK6" s="83">
        <f>IFERROR(__xludf.DUMMYFUNCTION("IMPORTRANGE(""https://docs.google.com/spreadsheets/d/1vJAs96IxW8FL300pnltJg7cCxB3F0B06ZPuRBX-QGJU/edit?gid=168918860#gid=168918860"",""1-12每月!$J6"")"),0.0)</f>
        <v>0</v>
      </c>
      <c r="AL6" s="83"/>
      <c r="AM6" s="114"/>
      <c r="AN6" s="114"/>
      <c r="AO6" s="114"/>
      <c r="AP6" s="114"/>
      <c r="AQ6" s="114"/>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IFERROR(__xludf.DUMMYFUNCTION("IMPORTRANGE(""https://docs.google.com/spreadsheets/d/1dffLfsI-BGVz-K0zdrsWfGaqrFfoLJAhq001merp6Rk/edit?usp=sharing"",""1-12每月!$J7"")"),245.0)</f>
        <v>245</v>
      </c>
      <c r="N7" s="83">
        <f>IFERROR(__xludf.DUMMYFUNCTION("IMPORTRANGE(""https://docs.google.com/spreadsheets/d/1SzxpZPUDnwxS8mSOLGEH5NbWU7ZW_VcRmIn7psOvuTs/edit#gid=1650312294?usp=sharing"",""1-12每月!$J7"")"),600.0)</f>
        <v>600</v>
      </c>
      <c r="O7" s="83">
        <f>IFERROR(__xludf.DUMMYFUNCTION("IMPORTRANGE(""https://docs.google.com/spreadsheets/d/1ta9i7cAkOPF0LapwmU_YEDA4IPQvKNuaYVMY8vIVPwI/edit#gid=1607741572?usp=sharing"",""1-12每月!$J7"")"),766.0)</f>
        <v>766</v>
      </c>
      <c r="P7" s="83">
        <f>IFERROR(__xludf.DUMMYFUNCTION("IMPORTRANGE(""https://docs.google.com/spreadsheets/d/1f4WWQfcNBonYqfzcaBhJlHzPwh34sx4U6naz-Aw2G4I/edit#gid=2097425894?usp=sharing"",""1-12每月!$J7"")"),98.0)</f>
        <v>98</v>
      </c>
      <c r="Q7" s="83">
        <f>IFERROR(__xludf.DUMMYFUNCTION("IMPORTRANGE(""https://docs.google.com/spreadsheets/d/1pCmmgCj7Y_SQPZLsiVd3yvND9oLyryVfBwNxC6OUwm8/edit#gid=170549058?usp=sharing"",""1-12每月!$J7"")"),0.0)</f>
        <v>0</v>
      </c>
      <c r="R7" s="83">
        <f>IFERROR(__xludf.DUMMYFUNCTION("IMPORTRANGE(""https://docs.google.com/spreadsheets/d/1hrRqxxacrLITR_JGMRVbhSRCIZIU8gAv0o_aOkHz68M/edit#gid=763155734?usp=sharing"",""1-12每月!$J7"")"),125.0)</f>
        <v>125</v>
      </c>
      <c r="S7" s="83">
        <f>IFERROR(__xludf.DUMMYFUNCTION("IMPORTRANGE(""https://docs.google.com/spreadsheets/d/1AKS3XWcgwNLFRbGU-lJ3UBHDQNdglvKwrv4_Bpp1IjU/edit#gid=73116376?usp=sharing"",""1-12每月!$I7"")"),0.0)</f>
        <v>0</v>
      </c>
      <c r="T7" s="83">
        <f>IFERROR(__xludf.DUMMYFUNCTION("IMPORTRANGE(""https://docs.google.com/spreadsheets/d/1wGGXGHkWT5JsjUDTy4FnHN_O9ae4MADbMykqIWVThNc/edit#gid=297806252?usp=sharing"",""1-12每月!$I7"")"),204.0)</f>
        <v>204</v>
      </c>
      <c r="U7" s="83">
        <f>IFERROR(__xludf.DUMMYFUNCTION("IMPORTRANGE(""https://docs.google.com/spreadsheets/d/1ShTgtQQDjMKpYx-TJ_lwdxnWSzJNUcNnzR3fJjoaZec/edit#gid=66107904?usp=sharing"",""1-12每月!$I7"")"),148.0)</f>
        <v>148</v>
      </c>
      <c r="V7" s="83">
        <f>IFERROR(__xludf.DUMMYFUNCTION("IMPORTRANGE(""https://docs.google.com/spreadsheets/d/1_eyuyKbXFCJd6fVFEKQwugwYCbRCmmWN_M7XR1dtOb8/edit#gid=951918895?usp=sharing"",""1-12每月!$I7"")"),0.0)</f>
        <v>0</v>
      </c>
      <c r="W7" s="83">
        <f>IFERROR(__xludf.DUMMYFUNCTION("IMPORTRANGE(""https://docs.google.com/spreadsheets/d/1yEpHI9_Y4w8sRmPP9C-mYK4NMfVuTJifGLMj4FMdqek/edit#gid=799087919?usp=sharing"",""1-12每月!$I7"")"),404.0)</f>
        <v>404</v>
      </c>
      <c r="X7" s="83">
        <f>IFERROR(__xludf.DUMMYFUNCTION("IMPORTRANGE(""https://docs.google.com/spreadsheets/d/1Vbyb9GlrY6jOwvoGyZFB96f7WXYjkT6gvTE37DPDXDI/edit#gid=9591526?usp=sharing"",""1-12每月!$I7"")"),223.0)</f>
        <v>223</v>
      </c>
      <c r="Y7" s="83">
        <f>IFERROR(__xludf.DUMMYFUNCTION("IMPORTRANGE(""https://docs.google.com/spreadsheets/d/1qeckoJwzWQAg8zQ80D-QJP4pnVYH6l2juaUyHtOu6y8/edit#gid=1905704096?usp=sharing"",""1-12每月!$I7"")"),0.0)</f>
        <v>0</v>
      </c>
      <c r="Z7" s="83">
        <f>IFERROR(__xludf.DUMMYFUNCTION("IMPORTRANGE(""https://docs.google.com/spreadsheets/d/1BcbIi7AD1VDpy_wMQ0YjCG-iuQy0_tkCVqr72a0Pwbg/edit#gid=1099513714?usp=sharing"",""1-12每月!$I7"")"),1109.0)</f>
        <v>1109</v>
      </c>
      <c r="AA7" s="83">
        <f>IFERROR(__xludf.DUMMYFUNCTION("IMPORTRANGE(""https://docs.google.com/spreadsheets/d/1cIFCQPaYiOmIt2O3vkEx5eto8sfRtx3JtAWJ1fv31HI/edit#gid=432689709?usp=sharing"",""1-12每月!$I7"")"),0.0)</f>
        <v>0</v>
      </c>
      <c r="AB7" s="83">
        <f>IFERROR(__xludf.DUMMYFUNCTION("IMPORTRANGE(""https://docs.google.com/spreadsheets/d/1C8ECYlbes2CJkHHGOAyOYVfrP7PdlGr8RMjK7KZd0_o/edit#gid=495469277?usp=sharing"",""1-12每月!$I7"")"),0.0)</f>
        <v>0</v>
      </c>
      <c r="AC7" s="83">
        <f>IFERROR(__xludf.DUMMYFUNCTION("IMPORTRANGE(""https://docs.google.com/spreadsheets/d/1ettcrhLPK6tkvHZxDTyU2bGIpGSi2ynG91ln0fqz9iE/edit#gid=1364213386?usp=sharing"",""1-12每月!$J7"")"),13317.0)</f>
        <v>13317</v>
      </c>
      <c r="AD7" s="83">
        <f>IFERROR(__xludf.DUMMYFUNCTION("IMPORTRANGE(""https://docs.google.com/spreadsheets/d/1xUhm-MtqzfUO8M5WEWVv9w2EFkv5_PHMOsAlA3CcCWU/edit#gid=1700470961?usp=sharing"",""1-12每月!$J7"")"),4989.0)</f>
        <v>4989</v>
      </c>
      <c r="AE7" s="83">
        <f>IFERROR(__xludf.DUMMYFUNCTION("IMPORTRANGE(""https://docs.google.com/spreadsheets/d/1DP8wl0QQLYSZ8R2aQ8wNmiAUXn7lVrqMsdTccpBmnQc/edit#gid=1145593933?usp=sharing"",""1-12每月!$J7"")"),5284.0)</f>
        <v>5284</v>
      </c>
      <c r="AF7" s="83">
        <f>IFERROR(__xludf.DUMMYFUNCTION("IMPORTRANGE(""https://docs.google.com/spreadsheets/d/17hbKAHrpKLEbG3r9s1Ay3fOGzvOBzSu3Bn_CD4JNLhY/edit#gid=756408948?usp=sharing"",""1-12每月!$J7"")"),13428.0)</f>
        <v>13428</v>
      </c>
      <c r="AG7" s="83">
        <f>IFERROR(__xludf.DUMMYFUNCTION("IMPORTRANGE(""https://docs.google.com/spreadsheets/d/1qeecSCKZ78ENQrsyUYpSNZqvo0-Y-uuGKFA1F06yLEM/edit#gid=874445072?usp=sharing"",""1-12每月!$J7"")"),23.0)</f>
        <v>23</v>
      </c>
      <c r="AH7" s="83">
        <f>IFERROR(__xludf.DUMMYFUNCTION("IMPORTRANGE(""https://docs.google.com/spreadsheets/d/1BSX0y1fIKw9-3VTr627UzGVjwKe74kwBkuFnvlaueNo/edit#gid=1113655470"",""1-12每月!$J7"")"),0.0)</f>
        <v>0</v>
      </c>
      <c r="AI7" s="83">
        <f>IFERROR(__xludf.DUMMYFUNCTION("IMPORTRANGE(""https://docs.google.com/spreadsheets/d/1bQzlrSGiVqBrfQ6FKnw67vhBELFgthonryGzmQabVFQ/edit#gid=1015697053"",""1-12每月!$J7"")"),0.0)</f>
        <v>0</v>
      </c>
      <c r="AJ7" s="83">
        <f>IFERROR(__xludf.DUMMYFUNCTION("IMPORTRANGE(""https://docs.google.com/spreadsheets/d/1Pem-mgCz4CF6EUKNVxDQx16g9jie0F5YNDQ_cPnMHYs"",""1-12每月!$J7"")"),0.0)</f>
        <v>0</v>
      </c>
      <c r="AK7" s="83">
        <f>IFERROR(__xludf.DUMMYFUNCTION("IMPORTRANGE(""https://docs.google.com/spreadsheets/d/1vJAs96IxW8FL300pnltJg7cCxB3F0B06ZPuRBX-QGJU/edit?gid=168918860#gid=168918860"",""1-12每月!$J7"")"),0.0)</f>
        <v>0</v>
      </c>
      <c r="AL7" s="83"/>
      <c r="AM7" s="114"/>
      <c r="AN7" s="114"/>
      <c r="AO7" s="114"/>
      <c r="AP7" s="114"/>
      <c r="AQ7" s="114"/>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IFERROR(__xludf.DUMMYFUNCTION("IMPORTRANGE(""https://docs.google.com/spreadsheets/d/1dffLfsI-BGVz-K0zdrsWfGaqrFfoLJAhq001merp6Rk/edit?usp=sharing"",""1-12每月!$J8"")"),997.0)</f>
        <v>997</v>
      </c>
      <c r="N8" s="83">
        <f>IFERROR(__xludf.DUMMYFUNCTION("IMPORTRANGE(""https://docs.google.com/spreadsheets/d/1SzxpZPUDnwxS8mSOLGEH5NbWU7ZW_VcRmIn7psOvuTs/edit#gid=1650312294?usp=sharing"",""1-12每月!$J8"")"),1918.0)</f>
        <v>1918</v>
      </c>
      <c r="O8" s="83">
        <f>IFERROR(__xludf.DUMMYFUNCTION("IMPORTRANGE(""https://docs.google.com/spreadsheets/d/1ta9i7cAkOPF0LapwmU_YEDA4IPQvKNuaYVMY8vIVPwI/edit#gid=1607741572?usp=sharing"",""1-12每月!$J8"")"),11.0)</f>
        <v>11</v>
      </c>
      <c r="P8" s="83">
        <f>IFERROR(__xludf.DUMMYFUNCTION("IMPORTRANGE(""https://docs.google.com/spreadsheets/d/1f4WWQfcNBonYqfzcaBhJlHzPwh34sx4U6naz-Aw2G4I/edit#gid=2097425894?usp=sharing"",""1-12每月!$J8"")"),43.0)</f>
        <v>43</v>
      </c>
      <c r="Q8" s="83">
        <f>IFERROR(__xludf.DUMMYFUNCTION("IMPORTRANGE(""https://docs.google.com/spreadsheets/d/1pCmmgCj7Y_SQPZLsiVd3yvND9oLyryVfBwNxC6OUwm8/edit#gid=170549058?usp=sharing"",""1-12每月!$J8"")"),0.0)</f>
        <v>0</v>
      </c>
      <c r="R8" s="83">
        <f>IFERROR(__xludf.DUMMYFUNCTION("IMPORTRANGE(""https://docs.google.com/spreadsheets/d/1hrRqxxacrLITR_JGMRVbhSRCIZIU8gAv0o_aOkHz68M/edit#gid=763155734?usp=sharing"",""1-12每月!$J8"")"),663.0)</f>
        <v>663</v>
      </c>
      <c r="S8" s="83">
        <f>IFERROR(__xludf.DUMMYFUNCTION("IMPORTRANGE(""https://docs.google.com/spreadsheets/d/1AKS3XWcgwNLFRbGU-lJ3UBHDQNdglvKwrv4_Bpp1IjU/edit#gid=73116376?usp=sharing"",""1-12每月!$I8"")"),465.0)</f>
        <v>465</v>
      </c>
      <c r="T8" s="83">
        <f>IFERROR(__xludf.DUMMYFUNCTION("IMPORTRANGE(""https://docs.google.com/spreadsheets/d/1wGGXGHkWT5JsjUDTy4FnHN_O9ae4MADbMykqIWVThNc/edit#gid=297806252?usp=sharing"",""1-12每月!$I8"")"),706.0)</f>
        <v>706</v>
      </c>
      <c r="U8" s="83">
        <f>IFERROR(__xludf.DUMMYFUNCTION("IMPORTRANGE(""https://docs.google.com/spreadsheets/d/1ShTgtQQDjMKpYx-TJ_lwdxnWSzJNUcNnzR3fJjoaZec/edit#gid=66107904?usp=sharing"",""1-12每月!$I8"")"),309.0)</f>
        <v>309</v>
      </c>
      <c r="V8" s="83">
        <f>IFERROR(__xludf.DUMMYFUNCTION("IMPORTRANGE(""https://docs.google.com/spreadsheets/d/1_eyuyKbXFCJd6fVFEKQwugwYCbRCmmWN_M7XR1dtOb8/edit#gid=951918895?usp=sharing"",""1-12每月!$I8"")"),0.0)</f>
        <v>0</v>
      </c>
      <c r="W8" s="83">
        <f>IFERROR(__xludf.DUMMYFUNCTION("IMPORTRANGE(""https://docs.google.com/spreadsheets/d/1yEpHI9_Y4w8sRmPP9C-mYK4NMfVuTJifGLMj4FMdqek/edit#gid=799087919?usp=sharing"",""1-12每月!$I8"")"),984.0)</f>
        <v>984</v>
      </c>
      <c r="X8" s="83">
        <f>IFERROR(__xludf.DUMMYFUNCTION("IMPORTRANGE(""https://docs.google.com/spreadsheets/d/1Vbyb9GlrY6jOwvoGyZFB96f7WXYjkT6gvTE37DPDXDI/edit#gid=9591526?usp=sharing"",""1-12每月!$I8"")"),665.0)</f>
        <v>665</v>
      </c>
      <c r="Y8" s="83">
        <f>IFERROR(__xludf.DUMMYFUNCTION("IMPORTRANGE(""https://docs.google.com/spreadsheets/d/1qeckoJwzWQAg8zQ80D-QJP4pnVYH6l2juaUyHtOu6y8/edit#gid=1905704096?usp=sharing"",""1-12每月!$I8"")"),0.0)</f>
        <v>0</v>
      </c>
      <c r="Z8" s="83">
        <f>IFERROR(__xludf.DUMMYFUNCTION("IMPORTRANGE(""https://docs.google.com/spreadsheets/d/1BcbIi7AD1VDpy_wMQ0YjCG-iuQy0_tkCVqr72a0Pwbg/edit#gid=1099513714?usp=sharing"",""1-12每月!$I8"")"),1568.0)</f>
        <v>1568</v>
      </c>
      <c r="AA8" s="83">
        <f>IFERROR(__xludf.DUMMYFUNCTION("IMPORTRANGE(""https://docs.google.com/spreadsheets/d/1cIFCQPaYiOmIt2O3vkEx5eto8sfRtx3JtAWJ1fv31HI/edit#gid=432689709?usp=sharing"",""1-12每月!$I8"")"),0.0)</f>
        <v>0</v>
      </c>
      <c r="AB8" s="83">
        <f>IFERROR(__xludf.DUMMYFUNCTION("IMPORTRANGE(""https://docs.google.com/spreadsheets/d/1C8ECYlbes2CJkHHGOAyOYVfrP7PdlGr8RMjK7KZd0_o/edit#gid=495469277?usp=sharing"",""1-12每月!$I8"")"),0.0)</f>
        <v>0</v>
      </c>
      <c r="AC8" s="83">
        <f>IFERROR(__xludf.DUMMYFUNCTION("IMPORTRANGE(""https://docs.google.com/spreadsheets/d/1ettcrhLPK6tkvHZxDTyU2bGIpGSi2ynG91ln0fqz9iE/edit#gid=1364213386?usp=sharing"",""1-12每月!$J8"")"),13032.0)</f>
        <v>13032</v>
      </c>
      <c r="AD8" s="83">
        <f>IFERROR(__xludf.DUMMYFUNCTION("IMPORTRANGE(""https://docs.google.com/spreadsheets/d/1xUhm-MtqzfUO8M5WEWVv9w2EFkv5_PHMOsAlA3CcCWU/edit#gid=1700470961?usp=sharing"",""1-12每月!$J8"")"),2869.0)</f>
        <v>2869</v>
      </c>
      <c r="AE8" s="83">
        <f>IFERROR(__xludf.DUMMYFUNCTION("IMPORTRANGE(""https://docs.google.com/spreadsheets/d/1DP8wl0QQLYSZ8R2aQ8wNmiAUXn7lVrqMsdTccpBmnQc/edit#gid=1145593933?usp=sharing"",""1-12每月!$J8"")"),8569.0)</f>
        <v>8569</v>
      </c>
      <c r="AF8" s="83">
        <f>IFERROR(__xludf.DUMMYFUNCTION("IMPORTRANGE(""https://docs.google.com/spreadsheets/d/17hbKAHrpKLEbG3r9s1Ay3fOGzvOBzSu3Bn_CD4JNLhY/edit#gid=756408948?usp=sharing"",""1-12每月!$J8"")"),11112.0)</f>
        <v>11112</v>
      </c>
      <c r="AG8" s="83">
        <f>IFERROR(__xludf.DUMMYFUNCTION("IMPORTRANGE(""https://docs.google.com/spreadsheets/d/1qeecSCKZ78ENQrsyUYpSNZqvo0-Y-uuGKFA1F06yLEM/edit#gid=874445072?usp=sharing"",""1-12每月!$J8"")"),0.0)</f>
        <v>0</v>
      </c>
      <c r="AH8" s="83">
        <f>IFERROR(__xludf.DUMMYFUNCTION("IMPORTRANGE(""https://docs.google.com/spreadsheets/d/1BSX0y1fIKw9-3VTr627UzGVjwKe74kwBkuFnvlaueNo/edit#gid=1113655470"",""1-12每月!$J8"")"),0.0)</f>
        <v>0</v>
      </c>
      <c r="AI8" s="83">
        <f>IFERROR(__xludf.DUMMYFUNCTION("IMPORTRANGE(""https://docs.google.com/spreadsheets/d/1bQzlrSGiVqBrfQ6FKnw67vhBELFgthonryGzmQabVFQ/edit#gid=1015697053"",""1-12每月!$J8"")"),0.0)</f>
        <v>0</v>
      </c>
      <c r="AJ8" s="83">
        <f>IFERROR(__xludf.DUMMYFUNCTION("IMPORTRANGE(""https://docs.google.com/spreadsheets/d/1Pem-mgCz4CF6EUKNVxDQx16g9jie0F5YNDQ_cPnMHYs"",""1-12每月!$J8"")"),0.0)</f>
        <v>0</v>
      </c>
      <c r="AK8" s="83">
        <f>IFERROR(__xludf.DUMMYFUNCTION("IMPORTRANGE(""https://docs.google.com/spreadsheets/d/1vJAs96IxW8FL300pnltJg7cCxB3F0B06ZPuRBX-QGJU/edit?gid=168918860#gid=168918860"",""1-12每月!$J8"")"),0.0)</f>
        <v>0</v>
      </c>
      <c r="AL8" s="83"/>
      <c r="AM8" s="114"/>
      <c r="AN8" s="114"/>
      <c r="AO8" s="114"/>
      <c r="AP8" s="114"/>
      <c r="AQ8" s="114"/>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IFERROR(__xludf.DUMMYFUNCTION("IMPORTRANGE(""https://docs.google.com/spreadsheets/d/1dffLfsI-BGVz-K0zdrsWfGaqrFfoLJAhq001merp6Rk/edit?usp=sharing"",""1-12每月!$J9"")"),2417.0)</f>
        <v>2417</v>
      </c>
      <c r="N9" s="83">
        <f>IFERROR(__xludf.DUMMYFUNCTION("IMPORTRANGE(""https://docs.google.com/spreadsheets/d/1SzxpZPUDnwxS8mSOLGEH5NbWU7ZW_VcRmIn7psOvuTs/edit#gid=1650312294?usp=sharing"",""1-12每月!$J9"")"),1841.0)</f>
        <v>1841</v>
      </c>
      <c r="O9" s="83">
        <f>IFERROR(__xludf.DUMMYFUNCTION("IMPORTRANGE(""https://docs.google.com/spreadsheets/d/1ta9i7cAkOPF0LapwmU_YEDA4IPQvKNuaYVMY8vIVPwI/edit#gid=1607741572?usp=sharing"",""1-12每月!$J9"")"),30.0)</f>
        <v>30</v>
      </c>
      <c r="P9" s="83">
        <f>IFERROR(__xludf.DUMMYFUNCTION("IMPORTRANGE(""https://docs.google.com/spreadsheets/d/1f4WWQfcNBonYqfzcaBhJlHzPwh34sx4U6naz-Aw2G4I/edit#gid=2097425894?usp=sharing"",""1-12每月!$J9"")"),637.0)</f>
        <v>637</v>
      </c>
      <c r="Q9" s="83">
        <f>IFERROR(__xludf.DUMMYFUNCTION("IMPORTRANGE(""https://docs.google.com/spreadsheets/d/1pCmmgCj7Y_SQPZLsiVd3yvND9oLyryVfBwNxC6OUwm8/edit#gid=170549058?usp=sharing"",""1-12每月!$J9"")"),0.0)</f>
        <v>0</v>
      </c>
      <c r="R9" s="83">
        <f>IFERROR(__xludf.DUMMYFUNCTION("IMPORTRANGE(""https://docs.google.com/spreadsheets/d/1hrRqxxacrLITR_JGMRVbhSRCIZIU8gAv0o_aOkHz68M/edit#gid=763155734?usp=sharing"",""1-12每月!$J9"")"),1511.0)</f>
        <v>1511</v>
      </c>
      <c r="S9" s="83">
        <f>IFERROR(__xludf.DUMMYFUNCTION("IMPORTRANGE(""https://docs.google.com/spreadsheets/d/1AKS3XWcgwNLFRbGU-lJ3UBHDQNdglvKwrv4_Bpp1IjU/edit#gid=73116376?usp=sharing"",""1-12每月!$I9"")"),1083.0)</f>
        <v>1083</v>
      </c>
      <c r="T9" s="83">
        <f>IFERROR(__xludf.DUMMYFUNCTION("IMPORTRANGE(""https://docs.google.com/spreadsheets/d/1wGGXGHkWT5JsjUDTy4FnHN_O9ae4MADbMykqIWVThNc/edit#gid=297806252?usp=sharing"",""1-12每月!$I9"")"),1006.0)</f>
        <v>1006</v>
      </c>
      <c r="U9" s="83">
        <f>IFERROR(__xludf.DUMMYFUNCTION("IMPORTRANGE(""https://docs.google.com/spreadsheets/d/1ShTgtQQDjMKpYx-TJ_lwdxnWSzJNUcNnzR3fJjoaZec/edit#gid=66107904?usp=sharing"",""1-12每月!$I9"")"),767.0)</f>
        <v>767</v>
      </c>
      <c r="V9" s="83">
        <f>IFERROR(__xludf.DUMMYFUNCTION("IMPORTRANGE(""https://docs.google.com/spreadsheets/d/1_eyuyKbXFCJd6fVFEKQwugwYCbRCmmWN_M7XR1dtOb8/edit#gid=951918895?usp=sharing"",""1-12每月!$I9"")"),0.0)</f>
        <v>0</v>
      </c>
      <c r="W9" s="83">
        <f>IFERROR(__xludf.DUMMYFUNCTION("IMPORTRANGE(""https://docs.google.com/spreadsheets/d/1yEpHI9_Y4w8sRmPP9C-mYK4NMfVuTJifGLMj4FMdqek/edit#gid=799087919?usp=sharing"",""1-12每月!$I9"")"),1604.0)</f>
        <v>1604</v>
      </c>
      <c r="X9" s="83">
        <f>IFERROR(__xludf.DUMMYFUNCTION("IMPORTRANGE(""https://docs.google.com/spreadsheets/d/1Vbyb9GlrY6jOwvoGyZFB96f7WXYjkT6gvTE37DPDXDI/edit#gid=9591526?usp=sharing"",""1-12每月!$I9"")"),881.0)</f>
        <v>881</v>
      </c>
      <c r="Y9" s="83">
        <f>IFERROR(__xludf.DUMMYFUNCTION("IMPORTRANGE(""https://docs.google.com/spreadsheets/d/1qeckoJwzWQAg8zQ80D-QJP4pnVYH6l2juaUyHtOu6y8/edit#gid=1905704096?usp=sharing"",""1-12每月!$I9"")"),0.0)</f>
        <v>0</v>
      </c>
      <c r="Z9" s="83">
        <f>IFERROR(__xludf.DUMMYFUNCTION("IMPORTRANGE(""https://docs.google.com/spreadsheets/d/1BcbIi7AD1VDpy_wMQ0YjCG-iuQy0_tkCVqr72a0Pwbg/edit#gid=1099513714?usp=sharing"",""1-12每月!$I9"")"),667.0)</f>
        <v>667</v>
      </c>
      <c r="AA9" s="83">
        <f>IFERROR(__xludf.DUMMYFUNCTION("IMPORTRANGE(""https://docs.google.com/spreadsheets/d/1cIFCQPaYiOmIt2O3vkEx5eto8sfRtx3JtAWJ1fv31HI/edit#gid=432689709?usp=sharing"",""1-12每月!$I9"")"),0.0)</f>
        <v>0</v>
      </c>
      <c r="AB9" s="83">
        <f>IFERROR(__xludf.DUMMYFUNCTION("IMPORTRANGE(""https://docs.google.com/spreadsheets/d/1C8ECYlbes2CJkHHGOAyOYVfrP7PdlGr8RMjK7KZd0_o/edit#gid=495469277?usp=sharing"",""1-12每月!$I9"")"),0.0)</f>
        <v>0</v>
      </c>
      <c r="AC9" s="83">
        <f>IFERROR(__xludf.DUMMYFUNCTION("IMPORTRANGE(""https://docs.google.com/spreadsheets/d/1ettcrhLPK6tkvHZxDTyU2bGIpGSi2ynG91ln0fqz9iE/edit#gid=1364213386?usp=sharing"",""1-12每月!$J9"")"),11787.0)</f>
        <v>11787</v>
      </c>
      <c r="AD9" s="83">
        <f>IFERROR(__xludf.DUMMYFUNCTION("IMPORTRANGE(""https://docs.google.com/spreadsheets/d/1xUhm-MtqzfUO8M5WEWVv9w2EFkv5_PHMOsAlA3CcCWU/edit#gid=1700470961?usp=sharing"",""1-12每月!$J9"")"),3617.0)</f>
        <v>3617</v>
      </c>
      <c r="AE9" s="83">
        <f>IFERROR(__xludf.DUMMYFUNCTION("IMPORTRANGE(""https://docs.google.com/spreadsheets/d/1DP8wl0QQLYSZ8R2aQ8wNmiAUXn7lVrqMsdTccpBmnQc/edit#gid=1145593933?usp=sharing"",""1-12每月!$J9"")"),8305.0)</f>
        <v>8305</v>
      </c>
      <c r="AF9" s="83">
        <f>IFERROR(__xludf.DUMMYFUNCTION("IMPORTRANGE(""https://docs.google.com/spreadsheets/d/17hbKAHrpKLEbG3r9s1Ay3fOGzvOBzSu3Bn_CD4JNLhY/edit#gid=756408948?usp=sharing"",""1-12每月!$J9"")"),10574.0)</f>
        <v>10574</v>
      </c>
      <c r="AG9" s="83">
        <f>IFERROR(__xludf.DUMMYFUNCTION("IMPORTRANGE(""https://docs.google.com/spreadsheets/d/1qeecSCKZ78ENQrsyUYpSNZqvo0-Y-uuGKFA1F06yLEM/edit#gid=874445072?usp=sharing"",""1-12每月!$J9"")"),0.0)</f>
        <v>0</v>
      </c>
      <c r="AH9" s="83">
        <f>IFERROR(__xludf.DUMMYFUNCTION("IMPORTRANGE(""https://docs.google.com/spreadsheets/d/1BSX0y1fIKw9-3VTr627UzGVjwKe74kwBkuFnvlaueNo/edit#gid=1113655470"",""1-12每月!$J9"")"),0.0)</f>
        <v>0</v>
      </c>
      <c r="AI9" s="83">
        <f>IFERROR(__xludf.DUMMYFUNCTION("IMPORTRANGE(""https://docs.google.com/spreadsheets/d/1bQzlrSGiVqBrfQ6FKnw67vhBELFgthonryGzmQabVFQ/edit#gid=1015697053"",""1-12每月!$J9"")"),0.0)</f>
        <v>0</v>
      </c>
      <c r="AJ9" s="83">
        <f>IFERROR(__xludf.DUMMYFUNCTION("IMPORTRANGE(""https://docs.google.com/spreadsheets/d/1Pem-mgCz4CF6EUKNVxDQx16g9jie0F5YNDQ_cPnMHYs"",""1-12每月!$J9"")"),0.0)</f>
        <v>0</v>
      </c>
      <c r="AK9" s="83">
        <f>IFERROR(__xludf.DUMMYFUNCTION("IMPORTRANGE(""https://docs.google.com/spreadsheets/d/1vJAs96IxW8FL300pnltJg7cCxB3F0B06ZPuRBX-QGJU/edit?gid=168918860#gid=168918860"",""1-12每月!$J9"")"),0.0)</f>
        <v>0</v>
      </c>
      <c r="AL9" s="83"/>
      <c r="AM9" s="114"/>
      <c r="AN9" s="114"/>
      <c r="AO9" s="114"/>
      <c r="AP9" s="114"/>
      <c r="AQ9" s="114"/>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IFERROR(__xludf.DUMMYFUNCTION("IMPORTRANGE(""https://docs.google.com/spreadsheets/d/1dffLfsI-BGVz-K0zdrsWfGaqrFfoLJAhq001merp6Rk/edit?usp=sharing"",""1-12每月!$J10"")"),4208.0)</f>
        <v>4208</v>
      </c>
      <c r="N10" s="83">
        <f>IFERROR(__xludf.DUMMYFUNCTION("IMPORTRANGE(""https://docs.google.com/spreadsheets/d/1SzxpZPUDnwxS8mSOLGEH5NbWU7ZW_VcRmIn7psOvuTs/edit#gid=1650312294?usp=sharing"",""1-12每月!$J10"")"),3446.0)</f>
        <v>3446</v>
      </c>
      <c r="O10" s="83">
        <f>IFERROR(__xludf.DUMMYFUNCTION("IMPORTRANGE(""https://docs.google.com/spreadsheets/d/1ta9i7cAkOPF0LapwmU_YEDA4IPQvKNuaYVMY8vIVPwI/edit#gid=1607741572?usp=sharing"",""1-12每月!$J10"")"),220.0)</f>
        <v>220</v>
      </c>
      <c r="P10" s="83">
        <f>IFERROR(__xludf.DUMMYFUNCTION("IMPORTRANGE(""https://docs.google.com/spreadsheets/d/1f4WWQfcNBonYqfzcaBhJlHzPwh34sx4U6naz-Aw2G4I/edit#gid=2097425894?usp=sharing"",""1-12每月!$J10"")"),1320.0)</f>
        <v>1320</v>
      </c>
      <c r="Q10" s="83">
        <f>IFERROR(__xludf.DUMMYFUNCTION("IMPORTRANGE(""https://docs.google.com/spreadsheets/d/1pCmmgCj7Y_SQPZLsiVd3yvND9oLyryVfBwNxC6OUwm8/edit#gid=170549058?usp=sharing"",""1-12每月!$J10"")"),5523.0)</f>
        <v>5523</v>
      </c>
      <c r="R10" s="83">
        <f>IFERROR(__xludf.DUMMYFUNCTION("IMPORTRANGE(""https://docs.google.com/spreadsheets/d/1hrRqxxacrLITR_JGMRVbhSRCIZIU8gAv0o_aOkHz68M/edit#gid=763155734?usp=sharing"",""1-12每月!$J10"")"),2935.0)</f>
        <v>2935</v>
      </c>
      <c r="S10" s="83">
        <f>IFERROR(__xludf.DUMMYFUNCTION("IMPORTRANGE(""https://docs.google.com/spreadsheets/d/1AKS3XWcgwNLFRbGU-lJ3UBHDQNdglvKwrv4_Bpp1IjU/edit#gid=73116376?usp=sharing"",""1-12每月!$I10"")"),2600.0)</f>
        <v>2600</v>
      </c>
      <c r="T10" s="83">
        <f>IFERROR(__xludf.DUMMYFUNCTION("IMPORTRANGE(""https://docs.google.com/spreadsheets/d/1wGGXGHkWT5JsjUDTy4FnHN_O9ae4MADbMykqIWVThNc/edit#gid=297806252?usp=sharing"",""1-12每月!$I10"")"),5166.0)</f>
        <v>5166</v>
      </c>
      <c r="U10" s="83">
        <f>IFERROR(__xludf.DUMMYFUNCTION("IMPORTRANGE(""https://docs.google.com/spreadsheets/d/1ShTgtQQDjMKpYx-TJ_lwdxnWSzJNUcNnzR3fJjoaZec/edit#gid=66107904?usp=sharing"",""1-12每月!$I10"")"),4686.0)</f>
        <v>4686</v>
      </c>
      <c r="V10" s="83">
        <f>IFERROR(__xludf.DUMMYFUNCTION("IMPORTRANGE(""https://docs.google.com/spreadsheets/d/1_eyuyKbXFCJd6fVFEKQwugwYCbRCmmWN_M7XR1dtOb8/edit#gid=951918895?usp=sharing"",""1-12每月!$I10"")"),0.0)</f>
        <v>0</v>
      </c>
      <c r="W10" s="83">
        <f>IFERROR(__xludf.DUMMYFUNCTION("IMPORTRANGE(""https://docs.google.com/spreadsheets/d/1yEpHI9_Y4w8sRmPP9C-mYK4NMfVuTJifGLMj4FMdqek/edit#gid=799087919?usp=sharing"",""1-12每月!$I10"")"),675.0)</f>
        <v>675</v>
      </c>
      <c r="X10" s="83">
        <f>IFERROR(__xludf.DUMMYFUNCTION("IMPORTRANGE(""https://docs.google.com/spreadsheets/d/1Vbyb9GlrY6jOwvoGyZFB96f7WXYjkT6gvTE37DPDXDI/edit#gid=9591526?usp=sharing"",""1-12每月!$I10"")"),797.0)</f>
        <v>797</v>
      </c>
      <c r="Y10" s="83">
        <f>IFERROR(__xludf.DUMMYFUNCTION("IMPORTRANGE(""https://docs.google.com/spreadsheets/d/1qeckoJwzWQAg8zQ80D-QJP4pnVYH6l2juaUyHtOu6y8/edit#gid=1905704096?usp=sharing"",""1-12每月!$I10"")"),215.0)</f>
        <v>215</v>
      </c>
      <c r="Z10" s="83">
        <f>IFERROR(__xludf.DUMMYFUNCTION("IMPORTRANGE(""https://docs.google.com/spreadsheets/d/1BcbIi7AD1VDpy_wMQ0YjCG-iuQy0_tkCVqr72a0Pwbg/edit#gid=1099513714?usp=sharing"",""1-12每月!$I10"")"),848.0)</f>
        <v>848</v>
      </c>
      <c r="AA10" s="83">
        <f>IFERROR(__xludf.DUMMYFUNCTION("IMPORTRANGE(""https://docs.google.com/spreadsheets/d/1cIFCQPaYiOmIt2O3vkEx5eto8sfRtx3JtAWJ1fv31HI/edit#gid=432689709?usp=sharing"",""1-12每月!$I10"")"),0.0)</f>
        <v>0</v>
      </c>
      <c r="AB10" s="83">
        <f>IFERROR(__xludf.DUMMYFUNCTION("IMPORTRANGE(""https://docs.google.com/spreadsheets/d/1C8ECYlbes2CJkHHGOAyOYVfrP7PdlGr8RMjK7KZd0_o/edit#gid=495469277?usp=sharing"",""1-12每月!$I10"")"),0.0)</f>
        <v>0</v>
      </c>
      <c r="AC10" s="83">
        <f>IFERROR(__xludf.DUMMYFUNCTION("IMPORTRANGE(""https://docs.google.com/spreadsheets/d/1ettcrhLPK6tkvHZxDTyU2bGIpGSi2ynG91ln0fqz9iE/edit#gid=1364213386?usp=sharing"",""1-12每月!$J10"")"),7329.0)</f>
        <v>7329</v>
      </c>
      <c r="AD10" s="83">
        <f>IFERROR(__xludf.DUMMYFUNCTION("IMPORTRANGE(""https://docs.google.com/spreadsheets/d/1xUhm-MtqzfUO8M5WEWVv9w2EFkv5_PHMOsAlA3CcCWU/edit#gid=1700470961?usp=sharing"",""1-12每月!$J10"")"),6480.0)</f>
        <v>6480</v>
      </c>
      <c r="AE10" s="83">
        <f>IFERROR(__xludf.DUMMYFUNCTION("IMPORTRANGE(""https://docs.google.com/spreadsheets/d/1DP8wl0QQLYSZ8R2aQ8wNmiAUXn7lVrqMsdTccpBmnQc/edit#gid=1145593933?usp=sharing"",""1-12每月!$J10"")"),7002.0)</f>
        <v>7002</v>
      </c>
      <c r="AF10" s="83">
        <f>IFERROR(__xludf.DUMMYFUNCTION("IMPORTRANGE(""https://docs.google.com/spreadsheets/d/17hbKAHrpKLEbG3r9s1Ay3fOGzvOBzSu3Bn_CD4JNLhY/edit#gid=756408948?usp=sharing"",""1-12每月!$J10"")"),10980.0)</f>
        <v>10980</v>
      </c>
      <c r="AG10" s="83">
        <f>IFERROR(__xludf.DUMMYFUNCTION("IMPORTRANGE(""https://docs.google.com/spreadsheets/d/1qeecSCKZ78ENQrsyUYpSNZqvo0-Y-uuGKFA1F06yLEM/edit#gid=874445072?usp=sharing"",""1-12每月!$J10"")"),0.0)</f>
        <v>0</v>
      </c>
      <c r="AH10" s="83">
        <f>IFERROR(__xludf.DUMMYFUNCTION("IMPORTRANGE(""https://docs.google.com/spreadsheets/d/1BSX0y1fIKw9-3VTr627UzGVjwKe74kwBkuFnvlaueNo/edit#gid=1113655470"",""1-12每月!$J10"")"),0.0)</f>
        <v>0</v>
      </c>
      <c r="AI10" s="83">
        <f>IFERROR(__xludf.DUMMYFUNCTION("IMPORTRANGE(""https://docs.google.com/spreadsheets/d/1bQzlrSGiVqBrfQ6FKnw67vhBELFgthonryGzmQabVFQ/edit#gid=1015697053"",""1-12每月!$J10"")"),0.0)</f>
        <v>0</v>
      </c>
      <c r="AJ10" s="83">
        <f>IFERROR(__xludf.DUMMYFUNCTION("IMPORTRANGE(""https://docs.google.com/spreadsheets/d/1Pem-mgCz4CF6EUKNVxDQx16g9jie0F5YNDQ_cPnMHYs"",""1-12每月!$J10"")"),0.0)</f>
        <v>0</v>
      </c>
      <c r="AK10" s="83">
        <f>IFERROR(__xludf.DUMMYFUNCTION("IMPORTRANGE(""https://docs.google.com/spreadsheets/d/1vJAs96IxW8FL300pnltJg7cCxB3F0B06ZPuRBX-QGJU/edit?gid=168918860#gid=168918860"",""1-12每月!$J10"")"),0.0)</f>
        <v>0</v>
      </c>
      <c r="AL10" s="83"/>
      <c r="AM10" s="115"/>
      <c r="AN10" s="115"/>
      <c r="AO10" s="115"/>
      <c r="AP10" s="115"/>
      <c r="AQ10" s="115"/>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IFERROR(__xludf.DUMMYFUNCTION("IMPORTRANGE(""https://docs.google.com/spreadsheets/d/1dffLfsI-BGVz-K0zdrsWfGaqrFfoLJAhq001merp6Rk/edit?usp=sharing"",""1-12每月!$J11"")"),7243.0)</f>
        <v>7243</v>
      </c>
      <c r="N11" s="83">
        <f>IFERROR(__xludf.DUMMYFUNCTION("IMPORTRANGE(""https://docs.google.com/spreadsheets/d/1SzxpZPUDnwxS8mSOLGEH5NbWU7ZW_VcRmIn7psOvuTs/edit#gid=1650312294?usp=sharing"",""1-12每月!$J11"")"),5605.0)</f>
        <v>5605</v>
      </c>
      <c r="O11" s="83">
        <f>IFERROR(__xludf.DUMMYFUNCTION("IMPORTRANGE(""https://docs.google.com/spreadsheets/d/1ta9i7cAkOPF0LapwmU_YEDA4IPQvKNuaYVMY8vIVPwI/edit#gid=1607741572?usp=sharing"",""1-12每月!$J11"")"),6035.0)</f>
        <v>6035</v>
      </c>
      <c r="P11" s="83">
        <f>IFERROR(__xludf.DUMMYFUNCTION("IMPORTRANGE(""https://docs.google.com/spreadsheets/d/1f4WWQfcNBonYqfzcaBhJlHzPwh34sx4U6naz-Aw2G4I/edit#gid=2097425894?usp=sharing"",""1-12每月!$J11"")"),7366.0)</f>
        <v>7366</v>
      </c>
      <c r="Q11" s="83">
        <f>IFERROR(__xludf.DUMMYFUNCTION("IMPORTRANGE(""https://docs.google.com/spreadsheets/d/1pCmmgCj7Y_SQPZLsiVd3yvND9oLyryVfBwNxC6OUwm8/edit#gid=170549058?usp=sharing"",""1-12每月!$J11"")"),9376.0)</f>
        <v>9376</v>
      </c>
      <c r="R11" s="83">
        <f>IFERROR(__xludf.DUMMYFUNCTION("IMPORTRANGE(""https://docs.google.com/spreadsheets/d/1hrRqxxacrLITR_JGMRVbhSRCIZIU8gAv0o_aOkHz68M/edit#gid=763155734?usp=sharing"",""1-12每月!$J11"")"),8156.0)</f>
        <v>8156</v>
      </c>
      <c r="S11" s="83">
        <f>IFERROR(__xludf.DUMMYFUNCTION("IMPORTRANGE(""https://docs.google.com/spreadsheets/d/1AKS3XWcgwNLFRbGU-lJ3UBHDQNdglvKwrv4_Bpp1IjU/edit#gid=73116376?usp=sharing"",""1-12每月!$I11"")"),6263.0)</f>
        <v>6263</v>
      </c>
      <c r="T11" s="83">
        <f>IFERROR(__xludf.DUMMYFUNCTION("IMPORTRANGE(""https://docs.google.com/spreadsheets/d/1wGGXGHkWT5JsjUDTy4FnHN_O9ae4MADbMykqIWVThNc/edit#gid=297806252?usp=sharing"",""1-12每月!$I11"")"),8727.0)</f>
        <v>8727</v>
      </c>
      <c r="U11" s="83">
        <f>IFERROR(__xludf.DUMMYFUNCTION("IMPORTRANGE(""https://docs.google.com/spreadsheets/d/1ShTgtQQDjMKpYx-TJ_lwdxnWSzJNUcNnzR3fJjoaZec/edit#gid=66107904?usp=sharing"",""1-12每月!$I11"")"),5407.0)</f>
        <v>5407</v>
      </c>
      <c r="V11" s="83">
        <f>IFERROR(__xludf.DUMMYFUNCTION("IMPORTRANGE(""https://docs.google.com/spreadsheets/d/1_eyuyKbXFCJd6fVFEKQwugwYCbRCmmWN_M7XR1dtOb8/edit#gid=951918895?usp=sharing"",""1-12每月!$I11"")"),2516.0)</f>
        <v>2516</v>
      </c>
      <c r="W11" s="83">
        <f>IFERROR(__xludf.DUMMYFUNCTION("IMPORTRANGE(""https://docs.google.com/spreadsheets/d/1yEpHI9_Y4w8sRmPP9C-mYK4NMfVuTJifGLMj4FMdqek/edit#gid=799087919?usp=sharing"",""1-12每月!$I11"")"),4664.0)</f>
        <v>4664</v>
      </c>
      <c r="X11" s="83">
        <f>IFERROR(__xludf.DUMMYFUNCTION("IMPORTRANGE(""https://docs.google.com/spreadsheets/d/1Vbyb9GlrY6jOwvoGyZFB96f7WXYjkT6gvTE37DPDXDI/edit#gid=9591526?usp=sharing"",""1-12每月!$I11"")"),2072.0)</f>
        <v>2072</v>
      </c>
      <c r="Y11" s="83">
        <f>IFERROR(__xludf.DUMMYFUNCTION("IMPORTRANGE(""https://docs.google.com/spreadsheets/d/1qeckoJwzWQAg8zQ80D-QJP4pnVYH6l2juaUyHtOu6y8/edit#gid=1905704096?usp=sharing"",""1-12每月!$I11"")"),5221.0)</f>
        <v>5221</v>
      </c>
      <c r="Z11" s="83">
        <f>IFERROR(__xludf.DUMMYFUNCTION("IMPORTRANGE(""https://docs.google.com/spreadsheets/d/1BcbIi7AD1VDpy_wMQ0YjCG-iuQy0_tkCVqr72a0Pwbg/edit#gid=1099513714?usp=sharing"",""1-12每月!$I11"")"),3623.0)</f>
        <v>3623</v>
      </c>
      <c r="AA11" s="83">
        <f>IFERROR(__xludf.DUMMYFUNCTION("IMPORTRANGE(""https://docs.google.com/spreadsheets/d/1cIFCQPaYiOmIt2O3vkEx5eto8sfRtx3JtAWJ1fv31HI/edit#gid=432689709?usp=sharing"",""1-12每月!$I11"")"),0.0)</f>
        <v>0</v>
      </c>
      <c r="AB11" s="83">
        <f>IFERROR(__xludf.DUMMYFUNCTION("IMPORTRANGE(""https://docs.google.com/spreadsheets/d/1C8ECYlbes2CJkHHGOAyOYVfrP7PdlGr8RMjK7KZd0_o/edit#gid=495469277?usp=sharing"",""1-12每月!$I11"")"),3798.0)</f>
        <v>3798</v>
      </c>
      <c r="AC11" s="83">
        <f>IFERROR(__xludf.DUMMYFUNCTION("IMPORTRANGE(""https://docs.google.com/spreadsheets/d/1ettcrhLPK6tkvHZxDTyU2bGIpGSi2ynG91ln0fqz9iE/edit#gid=1364213386?usp=sharing"",""1-12每月!$J11"")"),9402.0)</f>
        <v>9402</v>
      </c>
      <c r="AD11" s="83">
        <f>IFERROR(__xludf.DUMMYFUNCTION("IMPORTRANGE(""https://docs.google.com/spreadsheets/d/1xUhm-MtqzfUO8M5WEWVv9w2EFkv5_PHMOsAlA3CcCWU/edit#gid=1700470961?usp=sharing"",""1-12每月!$J11"")"),10131.0)</f>
        <v>10131</v>
      </c>
      <c r="AE11" s="83">
        <f>IFERROR(__xludf.DUMMYFUNCTION("IMPORTRANGE(""https://docs.google.com/spreadsheets/d/1DP8wl0QQLYSZ8R2aQ8wNmiAUXn7lVrqMsdTccpBmnQc/edit#gid=1145593933?usp=sharing"",""1-12每月!$J11"")"),8131.0)</f>
        <v>8131</v>
      </c>
      <c r="AF11" s="83">
        <f>IFERROR(__xludf.DUMMYFUNCTION("IMPORTRANGE(""https://docs.google.com/spreadsheets/d/17hbKAHrpKLEbG3r9s1Ay3fOGzvOBzSu3Bn_CD4JNLhY/edit#gid=756408948?usp=sharing"",""1-12每月!$J11"")"),11058.0)</f>
        <v>11058</v>
      </c>
      <c r="AG11" s="83">
        <f>IFERROR(__xludf.DUMMYFUNCTION("IMPORTRANGE(""https://docs.google.com/spreadsheets/d/1qeecSCKZ78ENQrsyUYpSNZqvo0-Y-uuGKFA1F06yLEM/edit#gid=874445072?usp=sharing"",""1-12每月!$J11"")"),147.0)</f>
        <v>147</v>
      </c>
      <c r="AH11" s="83">
        <f>IFERROR(__xludf.DUMMYFUNCTION("IMPORTRANGE(""https://docs.google.com/spreadsheets/d/1BSX0y1fIKw9-3VTr627UzGVjwKe74kwBkuFnvlaueNo/edit#gid=1113655470"",""1-12每月!$J11"")"),0.0)</f>
        <v>0</v>
      </c>
      <c r="AI11" s="83">
        <f>IFERROR(__xludf.DUMMYFUNCTION("IMPORTRANGE(""https://docs.google.com/spreadsheets/d/1bQzlrSGiVqBrfQ6FKnw67vhBELFgthonryGzmQabVFQ/edit#gid=1015697053"",""1-12每月!$J11"")"),0.0)</f>
        <v>0</v>
      </c>
      <c r="AJ11" s="83">
        <f>IFERROR(__xludf.DUMMYFUNCTION("IMPORTRANGE(""https://docs.google.com/spreadsheets/d/1Pem-mgCz4CF6EUKNVxDQx16g9jie0F5YNDQ_cPnMHYs"",""1-12每月!$J11"")"),0.0)</f>
        <v>0</v>
      </c>
      <c r="AK11" s="83">
        <f>IFERROR(__xludf.DUMMYFUNCTION("IMPORTRANGE(""https://docs.google.com/spreadsheets/d/1vJAs96IxW8FL300pnltJg7cCxB3F0B06ZPuRBX-QGJU/edit?gid=168918860#gid=168918860"",""1-12每月!$J11"")"),0.0)</f>
        <v>0</v>
      </c>
      <c r="AL11" s="83"/>
      <c r="AM11" s="115"/>
      <c r="AN11" s="115"/>
      <c r="AO11" s="115"/>
      <c r="AP11" s="115"/>
      <c r="AQ11" s="115"/>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IFERROR(__xludf.DUMMYFUNCTION("IMPORTRANGE(""https://docs.google.com/spreadsheets/d/1dffLfsI-BGVz-K0zdrsWfGaqrFfoLJAhq001merp6Rk/edit?usp=sharing"",""1-12每月!$J12"")"),4179.0)</f>
        <v>4179</v>
      </c>
      <c r="N12" s="83">
        <f>IFERROR(__xludf.DUMMYFUNCTION("IMPORTRANGE(""https://docs.google.com/spreadsheets/d/1SzxpZPUDnwxS8mSOLGEH5NbWU7ZW_VcRmIn7psOvuTs/edit#gid=1650312294?usp=sharing"",""1-12每月!$J12"")"),0.0)</f>
        <v>0</v>
      </c>
      <c r="O12" s="83">
        <f>IFERROR(__xludf.DUMMYFUNCTION("IMPORTRANGE(""https://docs.google.com/spreadsheets/d/1ta9i7cAkOPF0LapwmU_YEDA4IPQvKNuaYVMY8vIVPwI/edit#gid=1607741572?usp=sharing"",""1-12每月!$J12"")"),5657.0)</f>
        <v>5657</v>
      </c>
      <c r="P12" s="83">
        <f>IFERROR(__xludf.DUMMYFUNCTION("IMPORTRANGE(""https://docs.google.com/spreadsheets/d/1f4WWQfcNBonYqfzcaBhJlHzPwh34sx4U6naz-Aw2G4I/edit#gid=2097425894?usp=sharing"",""1-12每月!$J12"")"),9651.0)</f>
        <v>9651</v>
      </c>
      <c r="Q12" s="83">
        <f>IFERROR(__xludf.DUMMYFUNCTION("IMPORTRANGE(""https://docs.google.com/spreadsheets/d/1pCmmgCj7Y_SQPZLsiVd3yvND9oLyryVfBwNxC6OUwm8/edit#gid=170549058?usp=sharing"",""1-12每月!$J12"")"),8385.0)</f>
        <v>8385</v>
      </c>
      <c r="R12" s="83">
        <f>IFERROR(__xludf.DUMMYFUNCTION("IMPORTRANGE(""https://docs.google.com/spreadsheets/d/1hrRqxxacrLITR_JGMRVbhSRCIZIU8gAv0o_aOkHz68M/edit#gid=763155734?usp=sharing"",""1-12每月!$J12"")"),5453.0)</f>
        <v>5453</v>
      </c>
      <c r="S12" s="83">
        <f>IFERROR(__xludf.DUMMYFUNCTION("IMPORTRANGE(""https://docs.google.com/spreadsheets/d/1AKS3XWcgwNLFRbGU-lJ3UBHDQNdglvKwrv4_Bpp1IjU/edit#gid=73116376?usp=sharing"",""1-12每月!$I12"")"),6253.0)</f>
        <v>6253</v>
      </c>
      <c r="T12" s="83">
        <f>IFERROR(__xludf.DUMMYFUNCTION("IMPORTRANGE(""https://docs.google.com/spreadsheets/d/1wGGXGHkWT5JsjUDTy4FnHN_O9ae4MADbMykqIWVThNc/edit#gid=297806252?usp=sharing"",""1-12每月!$I12"")"),2669.0)</f>
        <v>2669</v>
      </c>
      <c r="U12" s="83">
        <f>IFERROR(__xludf.DUMMYFUNCTION("IMPORTRANGE(""https://docs.google.com/spreadsheets/d/1ShTgtQQDjMKpYx-TJ_lwdxnWSzJNUcNnzR3fJjoaZec/edit#gid=66107904?usp=sharing"",""1-12每月!$I12"")"),4192.0)</f>
        <v>4192</v>
      </c>
      <c r="V12" s="83">
        <f>IFERROR(__xludf.DUMMYFUNCTION("IMPORTRANGE(""https://docs.google.com/spreadsheets/d/1_eyuyKbXFCJd6fVFEKQwugwYCbRCmmWN_M7XR1dtOb8/edit#gid=951918895?usp=sharing"",""1-12每月!$I12"")"),4072.0)</f>
        <v>4072</v>
      </c>
      <c r="W12" s="83">
        <f>IFERROR(__xludf.DUMMYFUNCTION("IMPORTRANGE(""https://docs.google.com/spreadsheets/d/1yEpHI9_Y4w8sRmPP9C-mYK4NMfVuTJifGLMj4FMdqek/edit#gid=799087919?usp=sharing"",""1-12每月!$I12"")"),4112.0)</f>
        <v>4112</v>
      </c>
      <c r="X12" s="83">
        <f>IFERROR(__xludf.DUMMYFUNCTION("IMPORTRANGE(""https://docs.google.com/spreadsheets/d/1Vbyb9GlrY6jOwvoGyZFB96f7WXYjkT6gvTE37DPDXDI/edit#gid=9591526?usp=sharing"",""1-12每月!$I12"")"),2835.0)</f>
        <v>2835</v>
      </c>
      <c r="Y12" s="83">
        <f>IFERROR(__xludf.DUMMYFUNCTION("IMPORTRANGE(""https://docs.google.com/spreadsheets/d/1qeckoJwzWQAg8zQ80D-QJP4pnVYH6l2juaUyHtOu6y8/edit#gid=1905704096?usp=sharing"",""1-12每月!$I12"")"),2471.0)</f>
        <v>2471</v>
      </c>
      <c r="Z12" s="83">
        <f>IFERROR(__xludf.DUMMYFUNCTION("IMPORTRANGE(""https://docs.google.com/spreadsheets/d/1BcbIi7AD1VDpy_wMQ0YjCG-iuQy0_tkCVqr72a0Pwbg/edit#gid=1099513714?usp=sharing"",""1-12每月!$I12"")"),3804.0)</f>
        <v>3804</v>
      </c>
      <c r="AA12" s="83">
        <f>IFERROR(__xludf.DUMMYFUNCTION("IMPORTRANGE(""https://docs.google.com/spreadsheets/d/1cIFCQPaYiOmIt2O3vkEx5eto8sfRtx3JtAWJ1fv31HI/edit#gid=432689709?usp=sharing"",""1-12每月!$I12"")"),0.0)</f>
        <v>0</v>
      </c>
      <c r="AB12" s="83">
        <f>IFERROR(__xludf.DUMMYFUNCTION("IMPORTRANGE(""https://docs.google.com/spreadsheets/d/1C8ECYlbes2CJkHHGOAyOYVfrP7PdlGr8RMjK7KZd0_o/edit#gid=495469277?usp=sharing"",""1-12每月!$I12"")"),2150.0)</f>
        <v>2150</v>
      </c>
      <c r="AC12" s="83">
        <f>IFERROR(__xludf.DUMMYFUNCTION("IMPORTRANGE(""https://docs.google.com/spreadsheets/d/1ettcrhLPK6tkvHZxDTyU2bGIpGSi2ynG91ln0fqz9iE/edit#gid=1364213386?usp=sharing"",""1-12每月!$J12"")"),7691.0)</f>
        <v>7691</v>
      </c>
      <c r="AD12" s="83">
        <f>IFERROR(__xludf.DUMMYFUNCTION("IMPORTRANGE(""https://docs.google.com/spreadsheets/d/1xUhm-MtqzfUO8M5WEWVv9w2EFkv5_PHMOsAlA3CcCWU/edit#gid=1700470961?usp=sharing"",""1-12每月!$J12"")"),12403.0)</f>
        <v>12403</v>
      </c>
      <c r="AE12" s="83">
        <f>IFERROR(__xludf.DUMMYFUNCTION("IMPORTRANGE(""https://docs.google.com/spreadsheets/d/1DP8wl0QQLYSZ8R2aQ8wNmiAUXn7lVrqMsdTccpBmnQc/edit#gid=1145593933?usp=sharing"",""1-12每月!$J12"")"),8386.0)</f>
        <v>8386</v>
      </c>
      <c r="AF12" s="83">
        <f>IFERROR(__xludf.DUMMYFUNCTION("IMPORTRANGE(""https://docs.google.com/spreadsheets/d/17hbKAHrpKLEbG3r9s1Ay3fOGzvOBzSu3Bn_CD4JNLhY/edit#gid=756408948?usp=sharing"",""1-12每月!$J12"")"),8445.0)</f>
        <v>8445</v>
      </c>
      <c r="AG12" s="83">
        <f>IFERROR(__xludf.DUMMYFUNCTION("IMPORTRANGE(""https://docs.google.com/spreadsheets/d/1qeecSCKZ78ENQrsyUYpSNZqvo0-Y-uuGKFA1F06yLEM/edit#gid=874445072?usp=sharing"",""1-12每月!$J12"")"),170.0)</f>
        <v>170</v>
      </c>
      <c r="AH12" s="83">
        <f>IFERROR(__xludf.DUMMYFUNCTION("IMPORTRANGE(""https://docs.google.com/spreadsheets/d/1BSX0y1fIKw9-3VTr627UzGVjwKe74kwBkuFnvlaueNo/edit#gid=1113655470"",""1-12每月!$J12"")"),0.0)</f>
        <v>0</v>
      </c>
      <c r="AI12" s="83">
        <f>IFERROR(__xludf.DUMMYFUNCTION("IMPORTRANGE(""https://docs.google.com/spreadsheets/d/1bQzlrSGiVqBrfQ6FKnw67vhBELFgthonryGzmQabVFQ/edit#gid=1015697053"",""1-12每月!$J12"")"),0.0)</f>
        <v>0</v>
      </c>
      <c r="AJ12" s="83">
        <f>IFERROR(__xludf.DUMMYFUNCTION("IMPORTRANGE(""https://docs.google.com/spreadsheets/d/1Pem-mgCz4CF6EUKNVxDQx16g9jie0F5YNDQ_cPnMHYs"",""1-12每月!$J12"")"),0.0)</f>
        <v>0</v>
      </c>
      <c r="AK12" s="83">
        <f>IFERROR(__xludf.DUMMYFUNCTION("IMPORTRANGE(""https://docs.google.com/spreadsheets/d/1vJAs96IxW8FL300pnltJg7cCxB3F0B06ZPuRBX-QGJU/edit?gid=168918860#gid=168918860"",""1-12每月!$J12"")"),0.0)</f>
        <v>0</v>
      </c>
      <c r="AL12" s="83"/>
      <c r="AM12" s="115"/>
      <c r="AN12" s="115"/>
      <c r="AO12" s="115"/>
      <c r="AP12" s="115"/>
      <c r="AQ12" s="115"/>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IFERROR(__xludf.DUMMYFUNCTION("IMPORTRANGE(""https://docs.google.com/spreadsheets/d/1dffLfsI-BGVz-K0zdrsWfGaqrFfoLJAhq001merp6Rk/edit?usp=sharing"",""1-12每月!$J13"")"),1682.0)</f>
        <v>1682</v>
      </c>
      <c r="N13" s="83">
        <f>IFERROR(__xludf.DUMMYFUNCTION("IMPORTRANGE(""https://docs.google.com/spreadsheets/d/1SzxpZPUDnwxS8mSOLGEH5NbWU7ZW_VcRmIn7psOvuTs/edit#gid=1650312294?usp=sharing"",""1-12每月!$J13"")"),316.0)</f>
        <v>316</v>
      </c>
      <c r="O13" s="83">
        <f>IFERROR(__xludf.DUMMYFUNCTION("IMPORTRANGE(""https://docs.google.com/spreadsheets/d/1ta9i7cAkOPF0LapwmU_YEDA4IPQvKNuaYVMY8vIVPwI/edit#gid=1607741572?usp=sharing"",""1-12每月!$J13"")"),1445.0)</f>
        <v>1445</v>
      </c>
      <c r="P13" s="83">
        <f>IFERROR(__xludf.DUMMYFUNCTION("IMPORTRANGE(""https://docs.google.com/spreadsheets/d/1f4WWQfcNBonYqfzcaBhJlHzPwh34sx4U6naz-Aw2G4I/edit#gid=2097425894?usp=sharing"",""1-12每月!$J13"")"),1901.0)</f>
        <v>1901</v>
      </c>
      <c r="Q13" s="83">
        <f>IFERROR(__xludf.DUMMYFUNCTION("IMPORTRANGE(""https://docs.google.com/spreadsheets/d/1pCmmgCj7Y_SQPZLsiVd3yvND9oLyryVfBwNxC6OUwm8/edit#gid=170549058?usp=sharing"",""1-12每月!$J13"")"),1972.0)</f>
        <v>1972</v>
      </c>
      <c r="R13" s="83">
        <f>IFERROR(__xludf.DUMMYFUNCTION("IMPORTRANGE(""https://docs.google.com/spreadsheets/d/1hrRqxxacrLITR_JGMRVbhSRCIZIU8gAv0o_aOkHz68M/edit#gid=763155734?usp=sharing"",""1-12每月!$J13"")"),1252.0)</f>
        <v>1252</v>
      </c>
      <c r="S13" s="83">
        <f>IFERROR(__xludf.DUMMYFUNCTION("IMPORTRANGE(""https://docs.google.com/spreadsheets/d/1AKS3XWcgwNLFRbGU-lJ3UBHDQNdglvKwrv4_Bpp1IjU/edit#gid=73116376?usp=sharing"",""1-12每月!$I13"")"),1585.0)</f>
        <v>1585</v>
      </c>
      <c r="T13" s="83">
        <f>IFERROR(__xludf.DUMMYFUNCTION("IMPORTRANGE(""https://docs.google.com/spreadsheets/d/1wGGXGHkWT5JsjUDTy4FnHN_O9ae4MADbMykqIWVThNc/edit#gid=297806252?usp=sharing"",""1-12每月!$I13"")"),1178.0)</f>
        <v>1178</v>
      </c>
      <c r="U13" s="83">
        <f>IFERROR(__xludf.DUMMYFUNCTION("IMPORTRANGE(""https://docs.google.com/spreadsheets/d/1ShTgtQQDjMKpYx-TJ_lwdxnWSzJNUcNnzR3fJjoaZec/edit#gid=66107904?usp=sharing"",""1-12每月!$I13"")"),676.0)</f>
        <v>676</v>
      </c>
      <c r="V13" s="83">
        <f>IFERROR(__xludf.DUMMYFUNCTION("IMPORTRANGE(""https://docs.google.com/spreadsheets/d/1_eyuyKbXFCJd6fVFEKQwugwYCbRCmmWN_M7XR1dtOb8/edit#gid=951918895?usp=sharing"",""1-12每月!$I13"")"),413.0)</f>
        <v>413</v>
      </c>
      <c r="W13" s="83">
        <f>IFERROR(__xludf.DUMMYFUNCTION("IMPORTRANGE(""https://docs.google.com/spreadsheets/d/1yEpHI9_Y4w8sRmPP9C-mYK4NMfVuTJifGLMj4FMdqek/edit#gid=799087919?usp=sharing"",""1-12每月!$I13"")"),956.0)</f>
        <v>956</v>
      </c>
      <c r="X13" s="83">
        <f>IFERROR(__xludf.DUMMYFUNCTION("IMPORTRANGE(""https://docs.google.com/spreadsheets/d/1Vbyb9GlrY6jOwvoGyZFB96f7WXYjkT6gvTE37DPDXDI/edit#gid=9591526?usp=sharing"",""1-12每月!$I13"")"),194.0)</f>
        <v>194</v>
      </c>
      <c r="Y13" s="83">
        <f>IFERROR(__xludf.DUMMYFUNCTION("IMPORTRANGE(""https://docs.google.com/spreadsheets/d/1qeckoJwzWQAg8zQ80D-QJP4pnVYH6l2juaUyHtOu6y8/edit#gid=1905704096?usp=sharing"",""1-12每月!$I13"")"),733.0)</f>
        <v>733</v>
      </c>
      <c r="Z13" s="83">
        <f>IFERROR(__xludf.DUMMYFUNCTION("IMPORTRANGE(""https://docs.google.com/spreadsheets/d/1BcbIi7AD1VDpy_wMQ0YjCG-iuQy0_tkCVqr72a0Pwbg/edit#gid=1099513714?usp=sharing"",""1-12每月!$I13"")"),1030.0)</f>
        <v>1030</v>
      </c>
      <c r="AA13" s="83">
        <f>IFERROR(__xludf.DUMMYFUNCTION("IMPORTRANGE(""https://docs.google.com/spreadsheets/d/1cIFCQPaYiOmIt2O3vkEx5eto8sfRtx3JtAWJ1fv31HI/edit#gid=432689709?usp=sharing"",""1-12每月!$I13"")"),0.0)</f>
        <v>0</v>
      </c>
      <c r="AB13" s="83">
        <f>IFERROR(__xludf.DUMMYFUNCTION("IMPORTRANGE(""https://docs.google.com/spreadsheets/d/1C8ECYlbes2CJkHHGOAyOYVfrP7PdlGr8RMjK7KZd0_o/edit#gid=495469277?usp=sharing"",""1-12每月!$I13"")"),651.0)</f>
        <v>651</v>
      </c>
      <c r="AC13" s="83">
        <f>IFERROR(__xludf.DUMMYFUNCTION("IMPORTRANGE(""https://docs.google.com/spreadsheets/d/1ettcrhLPK6tkvHZxDTyU2bGIpGSi2ynG91ln0fqz9iE/edit#gid=1364213386?usp=sharing"",""1-12每月!$J13"")"),3570.0)</f>
        <v>3570</v>
      </c>
      <c r="AD13" s="83">
        <f>IFERROR(__xludf.DUMMYFUNCTION("IMPORTRANGE(""https://docs.google.com/spreadsheets/d/1xUhm-MtqzfUO8M5WEWVv9w2EFkv5_PHMOsAlA3CcCWU/edit#gid=1700470961?usp=sharing"",""1-12每月!$J13"")"),4708.0)</f>
        <v>4708</v>
      </c>
      <c r="AE13" s="83">
        <f>IFERROR(__xludf.DUMMYFUNCTION("IMPORTRANGE(""https://docs.google.com/spreadsheets/d/1DP8wl0QQLYSZ8R2aQ8wNmiAUXn7lVrqMsdTccpBmnQc/edit#gid=1145593933?usp=sharing"",""1-12每月!$J13"")"),6126.0)</f>
        <v>6126</v>
      </c>
      <c r="AF13" s="83">
        <f>IFERROR(__xludf.DUMMYFUNCTION("IMPORTRANGE(""https://docs.google.com/spreadsheets/d/17hbKAHrpKLEbG3r9s1Ay3fOGzvOBzSu3Bn_CD4JNLhY/edit#gid=756408948?usp=sharing"",""1-12每月!$J13"")"),3069.0)</f>
        <v>3069</v>
      </c>
      <c r="AG13" s="83">
        <f>IFERROR(__xludf.DUMMYFUNCTION("IMPORTRANGE(""https://docs.google.com/spreadsheets/d/1qeecSCKZ78ENQrsyUYpSNZqvo0-Y-uuGKFA1F06yLEM/edit#gid=874445072?usp=sharing"",""1-12每月!$J13"")"),542.0)</f>
        <v>542</v>
      </c>
      <c r="AH13" s="83">
        <f>IFERROR(__xludf.DUMMYFUNCTION("IMPORTRANGE(""https://docs.google.com/spreadsheets/d/1BSX0y1fIKw9-3VTr627UzGVjwKe74kwBkuFnvlaueNo/edit#gid=1113655470"",""1-12每月!$J13"")"),0.0)</f>
        <v>0</v>
      </c>
      <c r="AI13" s="83">
        <f>IFERROR(__xludf.DUMMYFUNCTION("IMPORTRANGE(""https://docs.google.com/spreadsheets/d/1bQzlrSGiVqBrfQ6FKnw67vhBELFgthonryGzmQabVFQ/edit#gid=1015697053"",""1-12每月!$J13"")"),0.0)</f>
        <v>0</v>
      </c>
      <c r="AJ13" s="83">
        <f>IFERROR(__xludf.DUMMYFUNCTION("IMPORTRANGE(""https://docs.google.com/spreadsheets/d/1Pem-mgCz4CF6EUKNVxDQx16g9jie0F5YNDQ_cPnMHYs"",""1-12每月!$J13"")"),0.0)</f>
        <v>0</v>
      </c>
      <c r="AK13" s="83">
        <f>IFERROR(__xludf.DUMMYFUNCTION("IMPORTRANGE(""https://docs.google.com/spreadsheets/d/1vJAs96IxW8FL300pnltJg7cCxB3F0B06ZPuRBX-QGJU/edit?gid=168918860#gid=168918860"",""1-12每月!$J13"")"),0.0)</f>
        <v>0</v>
      </c>
      <c r="AL13" s="83"/>
      <c r="AM13" s="115"/>
      <c r="AN13" s="115"/>
      <c r="AO13" s="115"/>
      <c r="AP13" s="115"/>
      <c r="AQ13" s="115"/>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IFERROR(__xludf.DUMMYFUNCTION("IMPORTRANGE(""https://docs.google.com/spreadsheets/d/1dffLfsI-BGVz-K0zdrsWfGaqrFfoLJAhq001merp6Rk/edit?usp=sharing"",""1-12每月!$J14"")"),889.0)</f>
        <v>889</v>
      </c>
      <c r="N14" s="83">
        <f>IFERROR(__xludf.DUMMYFUNCTION("IMPORTRANGE(""https://docs.google.com/spreadsheets/d/1SzxpZPUDnwxS8mSOLGEH5NbWU7ZW_VcRmIn7psOvuTs/edit#gid=1650312294?usp=sharing"",""1-12每月!$J14"")"),365.0)</f>
        <v>365</v>
      </c>
      <c r="O14" s="83">
        <f>IFERROR(__xludf.DUMMYFUNCTION("IMPORTRANGE(""https://docs.google.com/spreadsheets/d/1ta9i7cAkOPF0LapwmU_YEDA4IPQvKNuaYVMY8vIVPwI/edit#gid=1607741572?usp=sharing"",""1-12每月!$J14"")"),717.0)</f>
        <v>717</v>
      </c>
      <c r="P14" s="83">
        <f>IFERROR(__xludf.DUMMYFUNCTION("IMPORTRANGE(""https://docs.google.com/spreadsheets/d/1f4WWQfcNBonYqfzcaBhJlHzPwh34sx4U6naz-Aw2G4I/edit#gid=2097425894?usp=sharing"",""1-12每月!$J14"")"),2476.0)</f>
        <v>2476</v>
      </c>
      <c r="Q14" s="83">
        <f>IFERROR(__xludf.DUMMYFUNCTION("IMPORTRANGE(""https://docs.google.com/spreadsheets/d/1pCmmgCj7Y_SQPZLsiVd3yvND9oLyryVfBwNxC6OUwm8/edit#gid=170549058?usp=sharing"",""1-12每月!$J14"")"),379.0)</f>
        <v>379</v>
      </c>
      <c r="R14" s="83">
        <f>IFERROR(__xludf.DUMMYFUNCTION("IMPORTRANGE(""https://docs.google.com/spreadsheets/d/1hrRqxxacrLITR_JGMRVbhSRCIZIU8gAv0o_aOkHz68M/edit#gid=763155734?usp=sharing"",""1-12每月!$J14"")"),236.0)</f>
        <v>236</v>
      </c>
      <c r="S14" s="83">
        <f>IFERROR(__xludf.DUMMYFUNCTION("IMPORTRANGE(""https://docs.google.com/spreadsheets/d/1AKS3XWcgwNLFRbGU-lJ3UBHDQNdglvKwrv4_Bpp1IjU/edit#gid=73116376?usp=sharing"",""1-12每月!$I14"")"),1276.0)</f>
        <v>1276</v>
      </c>
      <c r="T14" s="83">
        <f>IFERROR(__xludf.DUMMYFUNCTION("IMPORTRANGE(""https://docs.google.com/spreadsheets/d/1wGGXGHkWT5JsjUDTy4FnHN_O9ae4MADbMykqIWVThNc/edit#gid=297806252?usp=sharing"",""1-12每月!$I14"")"),175.0)</f>
        <v>175</v>
      </c>
      <c r="U14" s="83">
        <f>IFERROR(__xludf.DUMMYFUNCTION("IMPORTRANGE(""https://docs.google.com/spreadsheets/d/1ShTgtQQDjMKpYx-TJ_lwdxnWSzJNUcNnzR3fJjoaZec/edit#gid=66107904?usp=sharing"",""1-12每月!$I14"")"),825.0)</f>
        <v>825</v>
      </c>
      <c r="V14" s="83">
        <f>IFERROR(__xludf.DUMMYFUNCTION("IMPORTRANGE(""https://docs.google.com/spreadsheets/d/1_eyuyKbXFCJd6fVFEKQwugwYCbRCmmWN_M7XR1dtOb8/edit#gid=951918895?usp=sharing"",""1-12每月!$I14"")"),310.0)</f>
        <v>310</v>
      </c>
      <c r="W14" s="83">
        <f>IFERROR(__xludf.DUMMYFUNCTION("IMPORTRANGE(""https://docs.google.com/spreadsheets/d/1yEpHI9_Y4w8sRmPP9C-mYK4NMfVuTJifGLMj4FMdqek/edit#gid=799087919?usp=sharing"",""1-12每月!$I14"")"),0.0)</f>
        <v>0</v>
      </c>
      <c r="X14" s="83">
        <f>IFERROR(__xludf.DUMMYFUNCTION("IMPORTRANGE(""https://docs.google.com/spreadsheets/d/1Vbyb9GlrY6jOwvoGyZFB96f7WXYjkT6gvTE37DPDXDI/edit#gid=9591526?usp=sharing"",""1-12每月!$I14"")"),238.0)</f>
        <v>238</v>
      </c>
      <c r="Y14" s="83">
        <f>IFERROR(__xludf.DUMMYFUNCTION("IMPORTRANGE(""https://docs.google.com/spreadsheets/d/1qeckoJwzWQAg8zQ80D-QJP4pnVYH6l2juaUyHtOu6y8/edit#gid=1905704096?usp=sharing"",""1-12每月!$I14"")"),0.0)</f>
        <v>0</v>
      </c>
      <c r="Z14" s="83">
        <f>IFERROR(__xludf.DUMMYFUNCTION("IMPORTRANGE(""https://docs.google.com/spreadsheets/d/1BcbIi7AD1VDpy_wMQ0YjCG-iuQy0_tkCVqr72a0Pwbg/edit#gid=1099513714?usp=sharing"",""1-12每月!$I14"")"),107.10000000000001)</f>
        <v>107.1</v>
      </c>
      <c r="AA14" s="83">
        <f>IFERROR(__xludf.DUMMYFUNCTION("IMPORTRANGE(""https://docs.google.com/spreadsheets/d/1cIFCQPaYiOmIt2O3vkEx5eto8sfRtx3JtAWJ1fv31HI/edit#gid=432689709?usp=sharing"",""1-12每月!$I14"")"),0.0)</f>
        <v>0</v>
      </c>
      <c r="AB14" s="83">
        <f>IFERROR(__xludf.DUMMYFUNCTION("IMPORTRANGE(""https://docs.google.com/spreadsheets/d/1C8ECYlbes2CJkHHGOAyOYVfrP7PdlGr8RMjK7KZd0_o/edit#gid=495469277?usp=sharing"",""1-12每月!$I14"")"),94.0)</f>
        <v>94</v>
      </c>
      <c r="AC14" s="83">
        <f>IFERROR(__xludf.DUMMYFUNCTION("IMPORTRANGE(""https://docs.google.com/spreadsheets/d/1ettcrhLPK6tkvHZxDTyU2bGIpGSi2ynG91ln0fqz9iE/edit#gid=1364213386?usp=sharing"",""1-12每月!$J14"")"),3148.0)</f>
        <v>3148</v>
      </c>
      <c r="AD14" s="83">
        <f>IFERROR(__xludf.DUMMYFUNCTION("IMPORTRANGE(""https://docs.google.com/spreadsheets/d/1xUhm-MtqzfUO8M5WEWVv9w2EFkv5_PHMOsAlA3CcCWU/edit#gid=1700470961?usp=sharing"",""1-12每月!$J14"")"),3157.0)</f>
        <v>3157</v>
      </c>
      <c r="AE14" s="83">
        <f>IFERROR(__xludf.DUMMYFUNCTION("IMPORTRANGE(""https://docs.google.com/spreadsheets/d/1DP8wl0QQLYSZ8R2aQ8wNmiAUXn7lVrqMsdTccpBmnQc/edit#gid=1145593933?usp=sharing"",""1-12每月!$J14"")"),7313.0)</f>
        <v>7313</v>
      </c>
      <c r="AF14" s="83">
        <f>IFERROR(__xludf.DUMMYFUNCTION("IMPORTRANGE(""https://docs.google.com/spreadsheets/d/17hbKAHrpKLEbG3r9s1Ay3fOGzvOBzSu3Bn_CD4JNLhY/edit#gid=756408948?usp=sharing"",""1-12每月!$J14"")"),2805.0)</f>
        <v>2805</v>
      </c>
      <c r="AG14" s="83">
        <f>IFERROR(__xludf.DUMMYFUNCTION("IMPORTRANGE(""https://docs.google.com/spreadsheets/d/1qeecSCKZ78ENQrsyUYpSNZqvo0-Y-uuGKFA1F06yLEM/edit#gid=874445072?usp=sharing"",""1-12每月!$J14"")"),466.0)</f>
        <v>466</v>
      </c>
      <c r="AH14" s="83">
        <f>IFERROR(__xludf.DUMMYFUNCTION("IMPORTRANGE(""https://docs.google.com/spreadsheets/d/1BSX0y1fIKw9-3VTr627UzGVjwKe74kwBkuFnvlaueNo/edit#gid=1113655470"",""1-12每月!$J14"")"),0.0)</f>
        <v>0</v>
      </c>
      <c r="AI14" s="83">
        <f>IFERROR(__xludf.DUMMYFUNCTION("IMPORTRANGE(""https://docs.google.com/spreadsheets/d/1bQzlrSGiVqBrfQ6FKnw67vhBELFgthonryGzmQabVFQ/edit#gid=1015697053"",""1-12每月!$J14"")"),0.0)</f>
        <v>0</v>
      </c>
      <c r="AJ14" s="83">
        <f>IFERROR(__xludf.DUMMYFUNCTION("IMPORTRANGE(""https://docs.google.com/spreadsheets/d/1Pem-mgCz4CF6EUKNVxDQx16g9jie0F5YNDQ_cPnMHYs"",""1-12每月!$J14"")"),0.0)</f>
        <v>0</v>
      </c>
      <c r="AK14" s="83">
        <f>IFERROR(__xludf.DUMMYFUNCTION("IMPORTRANGE(""https://docs.google.com/spreadsheets/d/1vJAs96IxW8FL300pnltJg7cCxB3F0B06ZPuRBX-QGJU/edit?gid=168918860#gid=168918860"",""1-12每月!$J14"")"),0.0)</f>
        <v>0</v>
      </c>
      <c r="AL14" s="83"/>
      <c r="AM14" s="115"/>
      <c r="AN14" s="115"/>
      <c r="AO14" s="115"/>
      <c r="AP14" s="115"/>
      <c r="AQ14" s="115"/>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IFERROR(__xludf.DUMMYFUNCTION("IMPORTRANGE(""https://docs.google.com/spreadsheets/d/1dffLfsI-BGVz-K0zdrsWfGaqrFfoLJAhq001merp6Rk/edit?usp=sharing"",""1-12每月!$J15"")"),211.0)</f>
        <v>211</v>
      </c>
      <c r="N15" s="83">
        <f>IFERROR(__xludf.DUMMYFUNCTION("IMPORTRANGE(""https://docs.google.com/spreadsheets/d/1SzxpZPUDnwxS8mSOLGEH5NbWU7ZW_VcRmIn7psOvuTs/edit#gid=1650312294?usp=sharing"",""1-12每月!$J15"")"),0.0)</f>
        <v>0</v>
      </c>
      <c r="O15" s="83">
        <f>IFERROR(__xludf.DUMMYFUNCTION("IMPORTRANGE(""https://docs.google.com/spreadsheets/d/1ta9i7cAkOPF0LapwmU_YEDA4IPQvKNuaYVMY8vIVPwI/edit#gid=1607741572?usp=sharing"",""1-12每月!$J15"")"),55.0)</f>
        <v>55</v>
      </c>
      <c r="P15" s="83">
        <f>IFERROR(__xludf.DUMMYFUNCTION("IMPORTRANGE(""https://docs.google.com/spreadsheets/d/1f4WWQfcNBonYqfzcaBhJlHzPwh34sx4U6naz-Aw2G4I/edit#gid=2097425894?usp=sharing"",""1-12每月!$J15"")"),2700.0)</f>
        <v>2700</v>
      </c>
      <c r="Q15" s="83">
        <f>IFERROR(__xludf.DUMMYFUNCTION("IMPORTRANGE(""https://docs.google.com/spreadsheets/d/1pCmmgCj7Y_SQPZLsiVd3yvND9oLyryVfBwNxC6OUwm8/edit#gid=170549058?usp=sharing"",""1-12每月!$J15"")"),212.0)</f>
        <v>212</v>
      </c>
      <c r="R15" s="83">
        <f>IFERROR(__xludf.DUMMYFUNCTION("IMPORTRANGE(""https://docs.google.com/spreadsheets/d/1hrRqxxacrLITR_JGMRVbhSRCIZIU8gAv0o_aOkHz68M/edit#gid=763155734?usp=sharing"",""1-12每月!$J15"")"),0.0)</f>
        <v>0</v>
      </c>
      <c r="S15" s="83">
        <f>IFERROR(__xludf.DUMMYFUNCTION("IMPORTRANGE(""https://docs.google.com/spreadsheets/d/1AKS3XWcgwNLFRbGU-lJ3UBHDQNdglvKwrv4_Bpp1IjU/edit#gid=73116376?usp=sharing"",""1-12每月!$I15"")"),0.0)</f>
        <v>0</v>
      </c>
      <c r="T15" s="83">
        <f>IFERROR(__xludf.DUMMYFUNCTION("IMPORTRANGE(""https://docs.google.com/spreadsheets/d/1wGGXGHkWT5JsjUDTy4FnHN_O9ae4MADbMykqIWVThNc/edit#gid=297806252?usp=sharing"",""1-12每月!$I15"")"),162.0)</f>
        <v>162</v>
      </c>
      <c r="U15" s="83">
        <f>IFERROR(__xludf.DUMMYFUNCTION("IMPORTRANGE(""https://docs.google.com/spreadsheets/d/1ShTgtQQDjMKpYx-TJ_lwdxnWSzJNUcNnzR3fJjoaZec/edit#gid=66107904?usp=sharing"",""1-12每月!$I15"")"),32.0)</f>
        <v>32</v>
      </c>
      <c r="V15" s="83">
        <f>IFERROR(__xludf.DUMMYFUNCTION("IMPORTRANGE(""https://docs.google.com/spreadsheets/d/1_eyuyKbXFCJd6fVFEKQwugwYCbRCmmWN_M7XR1dtOb8/edit#gid=951918895?usp=sharing"",""1-12每月!$I15"")"),384.0)</f>
        <v>384</v>
      </c>
      <c r="W15" s="83">
        <f>IFERROR(__xludf.DUMMYFUNCTION("IMPORTRANGE(""https://docs.google.com/spreadsheets/d/1yEpHI9_Y4w8sRmPP9C-mYK4NMfVuTJifGLMj4FMdqek/edit#gid=799087919?usp=sharing"",""1-12每月!$I15"")"),0.0)</f>
        <v>0</v>
      </c>
      <c r="X15" s="83">
        <f>IFERROR(__xludf.DUMMYFUNCTION("IMPORTRANGE(""https://docs.google.com/spreadsheets/d/1Vbyb9GlrY6jOwvoGyZFB96f7WXYjkT6gvTE37DPDXDI/edit#gid=9591526?usp=sharing"",""1-12每月!$I15"")"),83.0)</f>
        <v>83</v>
      </c>
      <c r="Y15" s="83">
        <f>IFERROR(__xludf.DUMMYFUNCTION("IMPORTRANGE(""https://docs.google.com/spreadsheets/d/1qeckoJwzWQAg8zQ80D-QJP4pnVYH6l2juaUyHtOu6y8/edit#gid=1905704096?usp=sharing"",""1-12每月!$I15"")"),0.0)</f>
        <v>0</v>
      </c>
      <c r="Z15" s="83">
        <f>IFERROR(__xludf.DUMMYFUNCTION("IMPORTRANGE(""https://docs.google.com/spreadsheets/d/1BcbIi7AD1VDpy_wMQ0YjCG-iuQy0_tkCVqr72a0Pwbg/edit#gid=1099513714?usp=sharing"",""1-12每月!$I15"")"),0.0)</f>
        <v>0</v>
      </c>
      <c r="AA15" s="83">
        <f>IFERROR(__xludf.DUMMYFUNCTION("IMPORTRANGE(""https://docs.google.com/spreadsheets/d/1cIFCQPaYiOmIt2O3vkEx5eto8sfRtx3JtAWJ1fv31HI/edit#gid=432689709?usp=sharing"",""1-12每月!$I15"")"),0.0)</f>
        <v>0</v>
      </c>
      <c r="AB15" s="83">
        <f>IFERROR(__xludf.DUMMYFUNCTION("IMPORTRANGE(""https://docs.google.com/spreadsheets/d/1C8ECYlbes2CJkHHGOAyOYVfrP7PdlGr8RMjK7KZd0_o/edit#gid=495469277?usp=sharing"",""1-12每月!$I15"")"),41.0)</f>
        <v>41</v>
      </c>
      <c r="AC15" s="83">
        <f>IFERROR(__xludf.DUMMYFUNCTION("IMPORTRANGE(""https://docs.google.com/spreadsheets/d/1ettcrhLPK6tkvHZxDTyU2bGIpGSi2ynG91ln0fqz9iE/edit#gid=1364213386?usp=sharing"",""1-12每月!$J15"")"),4629.0)</f>
        <v>4629</v>
      </c>
      <c r="AD15" s="83">
        <f>IFERROR(__xludf.DUMMYFUNCTION("IMPORTRANGE(""https://docs.google.com/spreadsheets/d/1xUhm-MtqzfUO8M5WEWVv9w2EFkv5_PHMOsAlA3CcCWU/edit#gid=1700470961?usp=sharing"",""1-12每月!$J15"")"),3778.0)</f>
        <v>3778</v>
      </c>
      <c r="AE15" s="83">
        <f>IFERROR(__xludf.DUMMYFUNCTION("IMPORTRANGE(""https://docs.google.com/spreadsheets/d/1DP8wl0QQLYSZ8R2aQ8wNmiAUXn7lVrqMsdTccpBmnQc/edit#gid=1145593933?usp=sharing"",""1-12每月!$J15"")"),8011.0)</f>
        <v>8011</v>
      </c>
      <c r="AF15" s="83">
        <f>IFERROR(__xludf.DUMMYFUNCTION("IMPORTRANGE(""https://docs.google.com/spreadsheets/d/17hbKAHrpKLEbG3r9s1Ay3fOGzvOBzSu3Bn_CD4JNLhY/edit#gid=756408948?usp=sharing"",""1-12每月!$J15"")"),4020.0)</f>
        <v>4020</v>
      </c>
      <c r="AG15" s="83">
        <f>IFERROR(__xludf.DUMMYFUNCTION("IMPORTRANGE(""https://docs.google.com/spreadsheets/d/1qeecSCKZ78ENQrsyUYpSNZqvo0-Y-uuGKFA1F06yLEM/edit#gid=874445072?usp=sharing"",""1-12每月!$J15"")"),0.0)</f>
        <v>0</v>
      </c>
      <c r="AH15" s="83">
        <f>IFERROR(__xludf.DUMMYFUNCTION("IMPORTRANGE(""https://docs.google.com/spreadsheets/d/1BSX0y1fIKw9-3VTr627UzGVjwKe74kwBkuFnvlaueNo/edit#gid=1113655470"",""1-12每月!$J15"")"),0.0)</f>
        <v>0</v>
      </c>
      <c r="AI15" s="83">
        <f>IFERROR(__xludf.DUMMYFUNCTION("IMPORTRANGE(""https://docs.google.com/spreadsheets/d/1bQzlrSGiVqBrfQ6FKnw67vhBELFgthonryGzmQabVFQ/edit#gid=1015697053"",""1-12每月!$J15"")"),0.0)</f>
        <v>0</v>
      </c>
      <c r="AJ15" s="83">
        <f>IFERROR(__xludf.DUMMYFUNCTION("IMPORTRANGE(""https://docs.google.com/spreadsheets/d/1Pem-mgCz4CF6EUKNVxDQx16g9jie0F5YNDQ_cPnMHYs"",""1-12每月!$J15"")"),0.0)</f>
        <v>0</v>
      </c>
      <c r="AK15" s="83">
        <f>IFERROR(__xludf.DUMMYFUNCTION("IMPORTRANGE(""https://docs.google.com/spreadsheets/d/1vJAs96IxW8FL300pnltJg7cCxB3F0B06ZPuRBX-QGJU/edit?gid=168918860#gid=168918860"",""1-12每月!$J15"")"),0.0)</f>
        <v>0</v>
      </c>
      <c r="AL15" s="83"/>
      <c r="AM15" s="115"/>
      <c r="AN15" s="115"/>
      <c r="AO15" s="115"/>
      <c r="AP15" s="115"/>
      <c r="AQ15" s="115"/>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IFERROR(__xludf.DUMMYFUNCTION("IMPORTRANGE(""https://docs.google.com/spreadsheets/d/1dffLfsI-BGVz-K0zdrsWfGaqrFfoLJAhq001merp6Rk/edit?usp=sharing"",""1-12每月!$J16"")"),571.0)</f>
        <v>571</v>
      </c>
      <c r="N16" s="83">
        <f>IFERROR(__xludf.DUMMYFUNCTION("IMPORTRANGE(""https://docs.google.com/spreadsheets/d/1SzxpZPUDnwxS8mSOLGEH5NbWU7ZW_VcRmIn7psOvuTs/edit#gid=1650312294?usp=sharing"",""1-12每月!$J16"")"),0.0)</f>
        <v>0</v>
      </c>
      <c r="O16" s="83">
        <f>IFERROR(__xludf.DUMMYFUNCTION("IMPORTRANGE(""https://docs.google.com/spreadsheets/d/1ta9i7cAkOPF0LapwmU_YEDA4IPQvKNuaYVMY8vIVPwI/edit#gid=1607741572?usp=sharing"",""1-12每月!$J16"")"),0.0)</f>
        <v>0</v>
      </c>
      <c r="P16" s="83">
        <f>IFERROR(__xludf.DUMMYFUNCTION("IMPORTRANGE(""https://docs.google.com/spreadsheets/d/1f4WWQfcNBonYqfzcaBhJlHzPwh34sx4U6naz-Aw2G4I/edit#gid=2097425894?usp=sharing"",""1-12每月!$J16"")"),920.0)</f>
        <v>920</v>
      </c>
      <c r="Q16" s="83">
        <f>IFERROR(__xludf.DUMMYFUNCTION("IMPORTRANGE(""https://docs.google.com/spreadsheets/d/1pCmmgCj7Y_SQPZLsiVd3yvND9oLyryVfBwNxC6OUwm8/edit#gid=170549058?usp=sharing"",""1-12每月!$J16"")"),84.0)</f>
        <v>84</v>
      </c>
      <c r="R16" s="83">
        <f>IFERROR(__xludf.DUMMYFUNCTION("IMPORTRANGE(""https://docs.google.com/spreadsheets/d/1hrRqxxacrLITR_JGMRVbhSRCIZIU8gAv0o_aOkHz68M/edit#gid=763155734?usp=sharing"",""1-12每月!$J16"")"),0.0)</f>
        <v>0</v>
      </c>
      <c r="S16" s="83">
        <f>IFERROR(__xludf.DUMMYFUNCTION("IMPORTRANGE(""https://docs.google.com/spreadsheets/d/1AKS3XWcgwNLFRbGU-lJ3UBHDQNdglvKwrv4_Bpp1IjU/edit#gid=73116376?usp=sharing"",""1-12每月!$I16"")"),37.0)</f>
        <v>37</v>
      </c>
      <c r="T16" s="83">
        <f>IFERROR(__xludf.DUMMYFUNCTION("IMPORTRANGE(""https://docs.google.com/spreadsheets/d/1wGGXGHkWT5JsjUDTy4FnHN_O9ae4MADbMykqIWVThNc/edit#gid=297806252?usp=sharing"",""1-12每月!$I16"")"),132.0)</f>
        <v>132</v>
      </c>
      <c r="U16" s="83">
        <f>IFERROR(__xludf.DUMMYFUNCTION("IMPORTRANGE(""https://docs.google.com/spreadsheets/d/1ShTgtQQDjMKpYx-TJ_lwdxnWSzJNUcNnzR3fJjoaZec/edit#gid=66107904?usp=sharing"",""1-12每月!$I16"")"),98.0)</f>
        <v>98</v>
      </c>
      <c r="V16" s="83">
        <f>IFERROR(__xludf.DUMMYFUNCTION("IMPORTRANGE(""https://docs.google.com/spreadsheets/d/1_eyuyKbXFCJd6fVFEKQwugwYCbRCmmWN_M7XR1dtOb8/edit#gid=951918895?usp=sharing"",""1-12每月!$I16"")"),374.0)</f>
        <v>374</v>
      </c>
      <c r="W16" s="83">
        <f>IFERROR(__xludf.DUMMYFUNCTION("IMPORTRANGE(""https://docs.google.com/spreadsheets/d/1yEpHI9_Y4w8sRmPP9C-mYK4NMfVuTJifGLMj4FMdqek/edit#gid=799087919?usp=sharing"",""1-12每月!$I16"")"),0.0)</f>
        <v>0</v>
      </c>
      <c r="X16" s="83">
        <f>IFERROR(__xludf.DUMMYFUNCTION("IMPORTRANGE(""https://docs.google.com/spreadsheets/d/1Vbyb9GlrY6jOwvoGyZFB96f7WXYjkT6gvTE37DPDXDI/edit#gid=9591526?usp=sharing"",""1-12每月!$I16"")"),102.0)</f>
        <v>102</v>
      </c>
      <c r="Y16" s="83">
        <f>IFERROR(__xludf.DUMMYFUNCTION("IMPORTRANGE(""https://docs.google.com/spreadsheets/d/1qeckoJwzWQAg8zQ80D-QJP4pnVYH6l2juaUyHtOu6y8/edit#gid=1905704096?usp=sharing"",""1-12每月!$I16"")"),0.0)</f>
        <v>0</v>
      </c>
      <c r="Z16" s="83">
        <f>IFERROR(__xludf.DUMMYFUNCTION("IMPORTRANGE(""https://docs.google.com/spreadsheets/d/1BcbIi7AD1VDpy_wMQ0YjCG-iuQy0_tkCVqr72a0Pwbg/edit#gid=1099513714?usp=sharing"",""1-12每月!$I16"")"),0.0)</f>
        <v>0</v>
      </c>
      <c r="AA16" s="83">
        <f>IFERROR(__xludf.DUMMYFUNCTION("IMPORTRANGE(""https://docs.google.com/spreadsheets/d/1cIFCQPaYiOmIt2O3vkEx5eto8sfRtx3JtAWJ1fv31HI/edit#gid=432689709?usp=sharing"",""1-12每月!$I16"")"),0.0)</f>
        <v>0</v>
      </c>
      <c r="AB16" s="83">
        <f>IFERROR(__xludf.DUMMYFUNCTION("IMPORTRANGE(""https://docs.google.com/spreadsheets/d/1C8ECYlbes2CJkHHGOAyOYVfrP7PdlGr8RMjK7KZd0_o/edit#gid=495469277?usp=sharing"",""1-12每月!$I16"")"),38.0)</f>
        <v>38</v>
      </c>
      <c r="AC16" s="83">
        <f>IFERROR(__xludf.DUMMYFUNCTION("IMPORTRANGE(""https://docs.google.com/spreadsheets/d/1ettcrhLPK6tkvHZxDTyU2bGIpGSi2ynG91ln0fqz9iE/edit#gid=1364213386?usp=sharing"",""1-12每月!$J16"")"),4711.0)</f>
        <v>4711</v>
      </c>
      <c r="AD16" s="83">
        <f>IFERROR(__xludf.DUMMYFUNCTION("IMPORTRANGE(""https://docs.google.com/spreadsheets/d/1xUhm-MtqzfUO8M5WEWVv9w2EFkv5_PHMOsAlA3CcCWU/edit#gid=1700470961?usp=sharing"",""1-12每月!$J16"")"),3800.0)</f>
        <v>3800</v>
      </c>
      <c r="AE16" s="83">
        <f>IFERROR(__xludf.DUMMYFUNCTION("IMPORTRANGE(""https://docs.google.com/spreadsheets/d/1DP8wl0QQLYSZ8R2aQ8wNmiAUXn7lVrqMsdTccpBmnQc/edit#gid=1145593933?usp=sharing"",""1-12每月!$J16"")"),6886.0)</f>
        <v>6886</v>
      </c>
      <c r="AF16" s="83">
        <f>IFERROR(__xludf.DUMMYFUNCTION("IMPORTRANGE(""https://docs.google.com/spreadsheets/d/17hbKAHrpKLEbG3r9s1Ay3fOGzvOBzSu3Bn_CD4JNLhY/edit#gid=756408948?usp=sharing"",""1-12每月!$J16"")"),4130.0)</f>
        <v>4130</v>
      </c>
      <c r="AG16" s="83">
        <f>IFERROR(__xludf.DUMMYFUNCTION("IMPORTRANGE(""https://docs.google.com/spreadsheets/d/1qeecSCKZ78ENQrsyUYpSNZqvo0-Y-uuGKFA1F06yLEM/edit#gid=874445072?usp=sharing"",""1-12每月!$J16"")"),0.0)</f>
        <v>0</v>
      </c>
      <c r="AH16" s="83">
        <f>IFERROR(__xludf.DUMMYFUNCTION("IMPORTRANGE(""https://docs.google.com/spreadsheets/d/1BSX0y1fIKw9-3VTr627UzGVjwKe74kwBkuFnvlaueNo/edit#gid=1113655470"",""1-12每月!$J16"")"),0.0)</f>
        <v>0</v>
      </c>
      <c r="AI16" s="83">
        <f>IFERROR(__xludf.DUMMYFUNCTION("IMPORTRANGE(""https://docs.google.com/spreadsheets/d/1bQzlrSGiVqBrfQ6FKnw67vhBELFgthonryGzmQabVFQ/edit#gid=1015697053"",""1-12每月!$J16"")"),0.0)</f>
        <v>0</v>
      </c>
      <c r="AJ16" s="83">
        <f>IFERROR(__xludf.DUMMYFUNCTION("IMPORTRANGE(""https://docs.google.com/spreadsheets/d/1Pem-mgCz4CF6EUKNVxDQx16g9jie0F5YNDQ_cPnMHYs"",""1-12每月!$J16"")"),0.0)</f>
        <v>0</v>
      </c>
      <c r="AK16" s="83">
        <f>IFERROR(__xludf.DUMMYFUNCTION("IMPORTRANGE(""https://docs.google.com/spreadsheets/d/1vJAs96IxW8FL300pnltJg7cCxB3F0B06ZPuRBX-QGJU/edit?gid=168918860#gid=168918860"",""1-12每月!$J16"")"),0.0)</f>
        <v>0</v>
      </c>
      <c r="AL16" s="83"/>
      <c r="AM16" s="115"/>
      <c r="AN16" s="115"/>
      <c r="AO16" s="115"/>
      <c r="AP16" s="115"/>
      <c r="AQ16" s="115"/>
      <c r="AR16" s="108"/>
    </row>
    <row r="17" ht="15.75" customHeight="1">
      <c r="A17" s="86" t="s">
        <v>45</v>
      </c>
      <c r="B17" s="87"/>
      <c r="C17" s="87"/>
      <c r="D17" s="87"/>
      <c r="E17" s="87"/>
      <c r="F17" s="87"/>
      <c r="G17" s="87"/>
      <c r="H17" s="87"/>
      <c r="I17" s="87"/>
      <c r="J17" s="87"/>
      <c r="K17" s="87"/>
      <c r="L17" s="87"/>
      <c r="M17" s="87">
        <f t="shared" ref="M17:AR17" si="1">SUM(M5:M16)</f>
        <v>23503</v>
      </c>
      <c r="N17" s="87">
        <f t="shared" si="1"/>
        <v>16329</v>
      </c>
      <c r="O17" s="87">
        <f t="shared" si="1"/>
        <v>15200</v>
      </c>
      <c r="P17" s="87">
        <f t="shared" si="1"/>
        <v>32449</v>
      </c>
      <c r="Q17" s="87">
        <f t="shared" si="1"/>
        <v>32409</v>
      </c>
      <c r="R17" s="87">
        <f t="shared" si="1"/>
        <v>20858</v>
      </c>
      <c r="S17" s="87">
        <f t="shared" si="1"/>
        <v>20197</v>
      </c>
      <c r="T17" s="87">
        <f t="shared" si="1"/>
        <v>21045</v>
      </c>
      <c r="U17" s="87">
        <f t="shared" si="1"/>
        <v>17449</v>
      </c>
      <c r="V17" s="87">
        <f t="shared" si="1"/>
        <v>8465</v>
      </c>
      <c r="W17" s="87">
        <f t="shared" si="1"/>
        <v>21684</v>
      </c>
      <c r="X17" s="87">
        <f t="shared" si="1"/>
        <v>11930</v>
      </c>
      <c r="Y17" s="87">
        <f t="shared" si="1"/>
        <v>9438</v>
      </c>
      <c r="Z17" s="87">
        <f t="shared" si="1"/>
        <v>21112.1</v>
      </c>
      <c r="AA17" s="87">
        <f t="shared" si="1"/>
        <v>5196</v>
      </c>
      <c r="AB17" s="87">
        <f t="shared" si="1"/>
        <v>6772</v>
      </c>
      <c r="AC17" s="87">
        <f t="shared" si="1"/>
        <v>97852</v>
      </c>
      <c r="AD17" s="87">
        <f t="shared" si="1"/>
        <v>63691</v>
      </c>
      <c r="AE17" s="87">
        <f t="shared" si="1"/>
        <v>79874</v>
      </c>
      <c r="AF17" s="87">
        <f t="shared" si="1"/>
        <v>92547</v>
      </c>
      <c r="AG17" s="87">
        <f t="shared" si="1"/>
        <v>3673</v>
      </c>
      <c r="AH17" s="87">
        <f t="shared" si="1"/>
        <v>0</v>
      </c>
      <c r="AI17" s="87">
        <f t="shared" si="1"/>
        <v>0</v>
      </c>
      <c r="AJ17" s="87">
        <f t="shared" si="1"/>
        <v>0</v>
      </c>
      <c r="AK17" s="87">
        <f t="shared" si="1"/>
        <v>0</v>
      </c>
      <c r="AL17" s="87">
        <f t="shared" si="1"/>
        <v>0</v>
      </c>
      <c r="AM17" s="87">
        <f t="shared" si="1"/>
        <v>0</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-0.3052376292</v>
      </c>
      <c r="O18" s="90">
        <f t="shared" si="2"/>
        <v>-0.06914079246</v>
      </c>
      <c r="P18" s="90">
        <f t="shared" si="2"/>
        <v>1.134802632</v>
      </c>
      <c r="Q18" s="90">
        <f t="shared" si="2"/>
        <v>-0.001232703627</v>
      </c>
      <c r="R18" s="90">
        <f t="shared" si="2"/>
        <v>-0.356413342</v>
      </c>
      <c r="S18" s="90">
        <f t="shared" si="2"/>
        <v>-0.03169047847</v>
      </c>
      <c r="T18" s="90">
        <f t="shared" si="2"/>
        <v>0.04198643363</v>
      </c>
      <c r="U18" s="90">
        <f t="shared" si="2"/>
        <v>-0.1708719411</v>
      </c>
      <c r="V18" s="90">
        <f t="shared" si="2"/>
        <v>-0.5148719124</v>
      </c>
      <c r="W18" s="90">
        <f t="shared" si="2"/>
        <v>1.561606615</v>
      </c>
      <c r="X18" s="90">
        <f t="shared" si="2"/>
        <v>-0.4498247556</v>
      </c>
      <c r="Y18" s="90">
        <f t="shared" si="2"/>
        <v>-0.2088851635</v>
      </c>
      <c r="Z18" s="90">
        <f t="shared" si="2"/>
        <v>1.236925196</v>
      </c>
      <c r="AA18" s="90">
        <f t="shared" si="2"/>
        <v>-0.7538852127</v>
      </c>
      <c r="AB18" s="90">
        <f t="shared" si="2"/>
        <v>0.3033102386</v>
      </c>
      <c r="AC18" s="90">
        <f t="shared" si="2"/>
        <v>13.44949793</v>
      </c>
      <c r="AD18" s="90">
        <f t="shared" ref="AD18:AR18" si="3">IF(AC17=0,0,(AD17-AC17)/AC17)</f>
        <v>-0.3491088583</v>
      </c>
      <c r="AE18" s="90">
        <f t="shared" si="3"/>
        <v>0.2540861346</v>
      </c>
      <c r="AF18" s="90">
        <f t="shared" si="3"/>
        <v>0.1586623933</v>
      </c>
      <c r="AG18" s="90">
        <f t="shared" si="3"/>
        <v>-0.9603120577</v>
      </c>
      <c r="AH18" s="90">
        <f t="shared" si="3"/>
        <v>-1</v>
      </c>
      <c r="AI18" s="90">
        <f t="shared" si="3"/>
        <v>0</v>
      </c>
      <c r="AJ18" s="90">
        <f t="shared" si="3"/>
        <v>0</v>
      </c>
      <c r="AK18" s="90">
        <f t="shared" si="3"/>
        <v>0</v>
      </c>
      <c r="AL18" s="90">
        <f t="shared" si="3"/>
        <v>0</v>
      </c>
      <c r="AM18" s="90">
        <f t="shared" si="3"/>
        <v>0</v>
      </c>
      <c r="AN18" s="90">
        <f t="shared" si="3"/>
        <v>0</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152</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t="s">
        <v>102</v>
      </c>
      <c r="AD20" s="92">
        <f t="shared" ref="AD20:AE20" si="4">SUM(AD$5:AD$6)</f>
        <v>7759</v>
      </c>
      <c r="AE20" s="92">
        <f t="shared" si="4"/>
        <v>5861</v>
      </c>
      <c r="AF20" s="77"/>
      <c r="AG20" s="77"/>
      <c r="AH20" s="77"/>
      <c r="AI20" s="77"/>
      <c r="AJ20" s="77"/>
      <c r="AK20" s="77"/>
      <c r="AL20" s="77"/>
      <c r="AM20" s="77"/>
      <c r="AN20" s="77"/>
      <c r="AO20" s="77"/>
      <c r="AP20" s="77"/>
      <c r="AQ20" s="77"/>
      <c r="AR20" s="77"/>
    </row>
    <row r="21" ht="15.75" customHeight="1">
      <c r="A21" s="77" t="s">
        <v>153</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t="s">
        <v>104</v>
      </c>
      <c r="AD21" s="92">
        <f t="shared" ref="AD21:AE21" si="5">SUM(AD$7:AD$11)</f>
        <v>28086</v>
      </c>
      <c r="AE21" s="92">
        <f t="shared" si="5"/>
        <v>37291</v>
      </c>
      <c r="AF21" s="77"/>
      <c r="AG21" s="77"/>
      <c r="AH21" s="77"/>
      <c r="AI21" s="77"/>
      <c r="AJ21" s="77"/>
      <c r="AK21" s="77"/>
      <c r="AL21" s="77"/>
      <c r="AM21" s="77"/>
      <c r="AN21" s="77"/>
      <c r="AO21" s="77"/>
      <c r="AP21" s="77"/>
      <c r="AQ21" s="77"/>
      <c r="AR21" s="77"/>
    </row>
    <row r="22" ht="15.75" customHeight="1">
      <c r="A22" s="77" t="s">
        <v>154</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77" t="s">
        <v>155</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6" width="9.11"/>
    <col customWidth="1" min="7" max="14" width="3.67"/>
    <col customWidth="1" hidden="1" min="15" max="15" width="3.67"/>
    <col customWidth="1" hidden="1" min="16" max="33" width="10.0"/>
    <col customWidth="1" min="34" max="44" width="10.0"/>
  </cols>
  <sheetData>
    <row r="1" ht="15.75" customHeight="1">
      <c r="A1" s="74" t="s">
        <v>156</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157</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c r="N5" s="83"/>
      <c r="O5" s="83"/>
      <c r="P5" s="83">
        <f>IFERROR(__xludf.DUMMYFUNCTION("IMPORTRANGE(""https://docs.google.com/spreadsheets/d/1f4WWQfcNBonYqfzcaBhJlHzPwh34sx4U6naz-Aw2G4I/edit#gid=2097425894?usp=sharing"",""1-12每月!$K5"")"),67752.0)</f>
        <v>67752</v>
      </c>
      <c r="Q5" s="83">
        <f>IFERROR(__xludf.DUMMYFUNCTION("IMPORTRANGE(""https://docs.google.com/spreadsheets/d/1pCmmgCj7Y_SQPZLsiVd3yvND9oLyryVfBwNxC6OUwm8/edit#gid=170549058?usp=sharing"",""1-12每月!$K5"")"),99736.0)</f>
        <v>99736</v>
      </c>
      <c r="R5" s="83">
        <f>IFERROR(__xludf.DUMMYFUNCTION("IMPORTRANGE(""https://docs.google.com/spreadsheets/d/1hrRqxxacrLITR_JGMRVbhSRCIZIU8gAv0o_aOkHz68M/edit#gid=763155734?usp=sharing"",""1-12每月!$K5"")"),47954.0)</f>
        <v>47954</v>
      </c>
      <c r="S5" s="83">
        <f>IFERROR(__xludf.DUMMYFUNCTION("IMPORTRANGE(""https://docs.google.com/spreadsheets/d/1AKS3XWcgwNLFRbGU-lJ3UBHDQNdglvKwrv4_Bpp1IjU/edit#gid=73116376?usp=sharing"",""1-12每月!$J5"")"),56902.0)</f>
        <v>56902</v>
      </c>
      <c r="T5" s="83">
        <f>IFERROR(__xludf.DUMMYFUNCTION("IMPORTRANGE(""https://docs.google.com/spreadsheets/d/1wGGXGHkWT5JsjUDTy4FnHN_O9ae4MADbMykqIWVThNc/edit#gid=297806252"",""1-12每月!$J5"")"),19130.0)</f>
        <v>19130</v>
      </c>
      <c r="U5" s="83">
        <f>IFERROR(__xludf.DUMMYFUNCTION("IMPORTRANGE(""https://docs.google.com/spreadsheets/d/1ShTgtQQDjMKpYx-TJ_lwdxnWSzJNUcNnzR3fJjoaZec/edit#gid=66107904"",""1-12每月!$J5"")"),31048.0)</f>
        <v>31048</v>
      </c>
      <c r="V5" s="83">
        <f>IFERROR(__xludf.DUMMYFUNCTION("IMPORTRANGE(""https://docs.google.com/spreadsheets/d/1_eyuyKbXFCJd6fVFEKQwugwYCbRCmmWN_M7XR1dtOb8/edit#gid=951918895"",""1-12每月!$J5"")"),71190.0)</f>
        <v>71190</v>
      </c>
      <c r="W5" s="83">
        <f>IFERROR(__xludf.DUMMYFUNCTION("IMPORTRANGE(""https://docs.google.com/spreadsheets/d/1yEpHI9_Y4w8sRmPP9C-mYK4NMfVuTJifGLMj4FMdqek/edit#gid=799087919"",""1-12每月!$J5"")"),30011.0)</f>
        <v>30011</v>
      </c>
      <c r="X5" s="83">
        <f>IFERROR(__xludf.DUMMYFUNCTION("IMPORTRANGE(""https://docs.google.com/spreadsheets/d/1Vbyb9GlrY6jOwvoGyZFB96f7WXYjkT6gvTE37DPDXDI/edit#gid=9591526"",""1-12每月!$J5"")"),18237.0)</f>
        <v>18237</v>
      </c>
      <c r="Y5" s="83">
        <f>IFERROR(__xludf.DUMMYFUNCTION("IMPORTRANGE(""https://docs.google.com/spreadsheets/d/1qeckoJwzWQAg8zQ80D-QJP4pnVYH6l2juaUyHtOu6y8/edit#gid=1905704096"",""1-12每月!$J5"")"),63938.0)</f>
        <v>63938</v>
      </c>
      <c r="Z5" s="83">
        <f>IFERROR(__xludf.DUMMYFUNCTION("IMPORTRANGE(""https://docs.google.com/spreadsheets/d/1BcbIi7AD1VDpy_wMQ0YjCG-iuQy0_tkCVqr72a0Pwbg/edit#gid=1099513714"",""1-12每月!$J5"")"),16831.0)</f>
        <v>16831</v>
      </c>
      <c r="AA5" s="83">
        <f>IFERROR(__xludf.DUMMYFUNCTION("IMPORTRANGE(""https://docs.google.com/spreadsheets/d/1cIFCQPaYiOmIt2O3vkEx5eto8sfRtx3JtAWJ1fv31HI/edit#gid=432689709"",""1-12每月!$J5"")"),29241.0)</f>
        <v>29241</v>
      </c>
      <c r="AB5" s="83">
        <f>IFERROR(__xludf.DUMMYFUNCTION("IMPORTRANGE(""https://docs.google.com/spreadsheets/d/1C8ECYlbes2CJkHHGOAyOYVfrP7PdlGr8RMjK7KZd0_o/edit#gid=495469277"",""1-12每月!$J5"")"),34533.0)</f>
        <v>34533</v>
      </c>
      <c r="AC5" s="83">
        <f>IFERROR(__xludf.DUMMYFUNCTION("IMPORTRANGE(""https://docs.google.com/spreadsheets/d/1ettcrhLPK6tkvHZxDTyU2bGIpGSi2ynG91ln0fqz9iE/edit#gid=1364213386"",""1-12每月!$K5"")"),31277.0)</f>
        <v>31277</v>
      </c>
      <c r="AD5" s="83">
        <f>IFERROR(__xludf.DUMMYFUNCTION("IMPORTRANGE(""https://docs.google.com/spreadsheets/d/1xUhm-MtqzfUO8M5WEWVv9w2EFkv5_PHMOsAlA3CcCWU/edit#gid=1700470961"",""1-12每月!$K5"")"),47516.0)</f>
        <v>47516</v>
      </c>
      <c r="AE5" s="83">
        <f>IFERROR(__xludf.DUMMYFUNCTION("IMPORTRANGE(""https://docs.google.com/spreadsheets/d/1DP8wl0QQLYSZ8R2aQ8wNmiAUXn7lVrqMsdTccpBmnQc/edit#gid=1145593933"",""1-12每月!$K5"")"),19006.0)</f>
        <v>19006</v>
      </c>
      <c r="AF5" s="83">
        <f>IFERROR(__xludf.DUMMYFUNCTION("IMPORTRANGE(""https://docs.google.com/spreadsheets/d/17hbKAHrpKLEbG3r9s1Ay3fOGzvOBzSu3Bn_CD4JNLhY/edit#gid=756408948"",""1-12每月!$K5"")"),25100.0)</f>
        <v>25100</v>
      </c>
      <c r="AG5" s="83">
        <f>IFERROR(__xludf.DUMMYFUNCTION("IMPORTRANGE(""https://docs.google.com/spreadsheets/d/1qeecSCKZ78ENQrsyUYpSNZqvo0-Y-uuGKFA1F06yLEM/edit#gid=874445072"",""1-12每月!$K5"")"),52874.0)</f>
        <v>52874</v>
      </c>
      <c r="AH5" s="83">
        <f>IFERROR(__xludf.DUMMYFUNCTION("IMPORTRANGE(""https://docs.google.com/spreadsheets/d/1BSX0y1fIKw9-3VTr627UzGVjwKe74kwBkuFnvlaueNo/edit#gid=1113655470"",""1-12每月!$K5"")"),35685.0)</f>
        <v>35685</v>
      </c>
      <c r="AI5" s="83">
        <f>IFERROR(__xludf.DUMMYFUNCTION("IMPORTRANGE(""https://docs.google.com/spreadsheets/d/1bQzlrSGiVqBrfQ6FKnw67vhBELFgthonryGzmQabVFQ/edit#gid=1015697053"",""1-12每月!$K5"")"),43345.0)</f>
        <v>43345</v>
      </c>
      <c r="AJ5" s="83">
        <f>IFERROR(__xludf.DUMMYFUNCTION("IMPORTRANGE(""https://docs.google.com/spreadsheets/d/1Pem-mgCz4CF6EUKNVxDQx16g9jie0F5YNDQ_cPnMHYs"",""1-12每月!$K5"")"),71777.0)</f>
        <v>71777</v>
      </c>
      <c r="AK5" s="83">
        <f>IFERROR(__xludf.DUMMYFUNCTION("IMPORTRANGE(""https://docs.google.com/spreadsheets/d/1ZoRtUl0m9T3TpY8H-9-ntNBO_zrYrgNKuAe_XfTeFnU"",""1-12每月!$J5"")"),37260.0)</f>
        <v>37260</v>
      </c>
      <c r="AL5" s="83">
        <f>IFERROR(__xludf.DUMMYFUNCTION("IMPORTRANGE(""https://docs.google.com/spreadsheets/d/1Y9Uv46r1nA3ixCGwTWZqhGQWDt4KVX4iXmhJgHL5CGQ"",""1-12每月!$J5"")"),37954.0)</f>
        <v>37954</v>
      </c>
      <c r="AM5" s="83">
        <f>IFERROR(__xludf.DUMMYFUNCTION("IMPORTRANGE(""https://docs.google.com/spreadsheets/d/1E3X732-CKfouAVQOwKyrePWwI1Bwg9NHD0VD42lyiu4/edit?gid=1513765949#gid=1513765949"",""1-12每月!$J5"")"),21207.0)</f>
        <v>21207</v>
      </c>
      <c r="AN5" s="114"/>
      <c r="AO5" s="114"/>
      <c r="AP5" s="114"/>
      <c r="AQ5" s="114"/>
      <c r="AR5" s="84"/>
    </row>
    <row r="6" ht="15.75" customHeight="1">
      <c r="A6" s="85">
        <v>2.0</v>
      </c>
      <c r="B6" s="83"/>
      <c r="C6" s="83"/>
      <c r="D6" s="83"/>
      <c r="E6" s="83"/>
      <c r="F6" s="83"/>
      <c r="G6" s="83"/>
      <c r="H6" s="83"/>
      <c r="I6" s="83"/>
      <c r="J6" s="83"/>
      <c r="K6" s="83"/>
      <c r="L6" s="83"/>
      <c r="M6" s="83"/>
      <c r="N6" s="83"/>
      <c r="O6" s="83"/>
      <c r="P6" s="83">
        <f>IFERROR(__xludf.DUMMYFUNCTION("IMPORTRANGE(""https://docs.google.com/spreadsheets/d/1f4WWQfcNBonYqfzcaBhJlHzPwh34sx4U6naz-Aw2G4I/edit#gid=2097425894?usp=sharing"",""1-12每月!$K6"")"),163370.0)</f>
        <v>163370</v>
      </c>
      <c r="Q6" s="83">
        <f>IFERROR(__xludf.DUMMYFUNCTION("IMPORTRANGE(""https://docs.google.com/spreadsheets/d/1pCmmgCj7Y_SQPZLsiVd3yvND9oLyryVfBwNxC6OUwm8/edit#gid=170549058?usp=sharing"",""1-12每月!$K6"")"),45118.0)</f>
        <v>45118</v>
      </c>
      <c r="R6" s="83">
        <f>IFERROR(__xludf.DUMMYFUNCTION("IMPORTRANGE(""https://docs.google.com/spreadsheets/d/1hrRqxxacrLITR_JGMRVbhSRCIZIU8gAv0o_aOkHz68M/edit#gid=763155734?usp=sharing"",""1-12每月!$K6"")"),123612.0)</f>
        <v>123612</v>
      </c>
      <c r="S6" s="83">
        <f>IFERROR(__xludf.DUMMYFUNCTION("IMPORTRANGE(""https://docs.google.com/spreadsheets/d/1AKS3XWcgwNLFRbGU-lJ3UBHDQNdglvKwrv4_Bpp1IjU/edit#gid=73116376?usp=sharing"",""1-12每月!$J6"")"),101665.0)</f>
        <v>101665</v>
      </c>
      <c r="T6" s="83">
        <f>IFERROR(__xludf.DUMMYFUNCTION("IMPORTRANGE(""https://docs.google.com/spreadsheets/d/1wGGXGHkWT5JsjUDTy4FnHN_O9ae4MADbMykqIWVThNc/edit#gid=297806252?usp=sharing"",""1-12每月!$J6"")"),106276.0)</f>
        <v>106276</v>
      </c>
      <c r="U6" s="83">
        <f>IFERROR(__xludf.DUMMYFUNCTION("IMPORTRANGE(""https://docs.google.com/spreadsheets/d/1ShTgtQQDjMKpYx-TJ_lwdxnWSzJNUcNnzR3fJjoaZec/edit#gid=66107904?usp=sharing"",""1-12每月!$J6"")"),64468.0)</f>
        <v>64468</v>
      </c>
      <c r="V6" s="83">
        <f>IFERROR(__xludf.DUMMYFUNCTION("IMPORTRANGE(""https://docs.google.com/spreadsheets/d/1_eyuyKbXFCJd6fVFEKQwugwYCbRCmmWN_M7XR1dtOb8/edit#gid=951918895?usp=sharing"",""1-12每月!$J6"")"),34081.0)</f>
        <v>34081</v>
      </c>
      <c r="W6" s="83">
        <f>IFERROR(__xludf.DUMMYFUNCTION("IMPORTRANGE(""https://docs.google.com/spreadsheets/d/1yEpHI9_Y4w8sRmPP9C-mYK4NMfVuTJifGLMj4FMdqek/edit#gid=799087919?usp=sharing"",""1-12每月!$J6"")"),72714.0)</f>
        <v>72714</v>
      </c>
      <c r="X6" s="83">
        <f>IFERROR(__xludf.DUMMYFUNCTION("IMPORTRANGE(""https://docs.google.com/spreadsheets/d/1Vbyb9GlrY6jOwvoGyZFB96f7WXYjkT6gvTE37DPDXDI/edit#gid=9591526?usp=sharing"",""1-12每月!$J6"")"),50104.0)</f>
        <v>50104</v>
      </c>
      <c r="Y6" s="83">
        <f>IFERROR(__xludf.DUMMYFUNCTION("IMPORTRANGE(""https://docs.google.com/spreadsheets/d/1qeckoJwzWQAg8zQ80D-QJP4pnVYH6l2juaUyHtOu6y8/edit#gid=1905704096?usp=sharing"",""1-12每月!$J6"")"),34782.0)</f>
        <v>34782</v>
      </c>
      <c r="Z6" s="83">
        <f>IFERROR(__xludf.DUMMYFUNCTION("IMPORTRANGE(""https://docs.google.com/spreadsheets/d/1BcbIi7AD1VDpy_wMQ0YjCG-iuQy0_tkCVqr72a0Pwbg/edit#gid=1099513714?usp=sharing"",""1-12每月!$J6"")"),64915.0)</f>
        <v>64915</v>
      </c>
      <c r="AA6" s="83">
        <f>IFERROR(__xludf.DUMMYFUNCTION("IMPORTRANGE(""https://docs.google.com/spreadsheets/d/1cIFCQPaYiOmIt2O3vkEx5eto8sfRtx3JtAWJ1fv31HI/edit#gid=432689709?usp=sharing"",""1-12每月!$J6"")"),56525.0)</f>
        <v>56525</v>
      </c>
      <c r="AB6" s="83">
        <f>IFERROR(__xludf.DUMMYFUNCTION("IMPORTRANGE(""https://docs.google.com/spreadsheets/d/1C8ECYlbes2CJkHHGOAyOYVfrP7PdlGr8RMjK7KZd0_o/edit#gid=495469277?usp=sharing"",""1-12每月!$J6"")"),72138.0)</f>
        <v>72138</v>
      </c>
      <c r="AC6" s="83">
        <f>IFERROR(__xludf.DUMMYFUNCTION("IMPORTRANGE(""https://docs.google.com/spreadsheets/d/1ettcrhLPK6tkvHZxDTyU2bGIpGSi2ynG91ln0fqz9iE/edit#gid=1364213386?usp=sharing"",""1-12每月!$K6"")"),69468.0)</f>
        <v>69468</v>
      </c>
      <c r="AD6" s="83">
        <f>IFERROR(__xludf.DUMMYFUNCTION("IMPORTRANGE(""https://docs.google.com/spreadsheets/d/1xUhm-MtqzfUO8M5WEWVv9w2EFkv5_PHMOsAlA3CcCWU/edit#gid=1700470961?usp=sharing"",""1-12每月!$K6"")"),50821.0)</f>
        <v>50821</v>
      </c>
      <c r="AE6" s="83">
        <f>IFERROR(__xludf.DUMMYFUNCTION("IMPORTRANGE(""https://docs.google.com/spreadsheets/d/1DP8wl0QQLYSZ8R2aQ8wNmiAUXn7lVrqMsdTccpBmnQc/edit#gid=1145593933?usp=sharing"",""1-12每月!$K6"")"),25195.0)</f>
        <v>25195</v>
      </c>
      <c r="AF6" s="83">
        <f>IFERROR(__xludf.DUMMYFUNCTION("IMPORTRANGE(""https://docs.google.com/spreadsheets/d/17hbKAHrpKLEbG3r9s1Ay3fOGzvOBzSu3Bn_CD4JNLhY/edit#gid=756408948?usp=sharing"",""1-12每月!$K6"")"),60883.0)</f>
        <v>60883</v>
      </c>
      <c r="AG6" s="83">
        <f>IFERROR(__xludf.DUMMYFUNCTION("IMPORTRANGE(""https://docs.google.com/spreadsheets/d/1qeecSCKZ78ENQrsyUYpSNZqvo0-Y-uuGKFA1F06yLEM/edit#gid=874445072?usp=sharing"",""1-12每月!$K6"")"),39404.0)</f>
        <v>39404</v>
      </c>
      <c r="AH6" s="83">
        <f>IFERROR(__xludf.DUMMYFUNCTION("IMPORTRANGE(""https://docs.google.com/spreadsheets/d/1BSX0y1fIKw9-3VTr627UzGVjwKe74kwBkuFnvlaueNo/edit#gid=1113655470"",""1-12每月!$K6"")"),58827.0)</f>
        <v>58827</v>
      </c>
      <c r="AI6" s="83">
        <f>IFERROR(__xludf.DUMMYFUNCTION("IMPORTRANGE(""https://docs.google.com/spreadsheets/d/1bQzlrSGiVqBrfQ6FKnw67vhBELFgthonryGzmQabVFQ/edit#gid=1015697053"",""1-12每月!$K6"")"),61964.0)</f>
        <v>61964</v>
      </c>
      <c r="AJ6" s="83">
        <f>IFERROR(__xludf.DUMMYFUNCTION("IMPORTRANGE(""https://docs.google.com/spreadsheets/d/1Pem-mgCz4CF6EUKNVxDQx16g9jie0F5YNDQ_cPnMHYs"",""1-12每月!$K6"")"),51549.0)</f>
        <v>51549</v>
      </c>
      <c r="AK6" s="83">
        <f>IFERROR(__xludf.DUMMYFUNCTION("IMPORTRANGE(""https://docs.google.com/spreadsheets/d/1ZoRtUl0m9T3TpY8H-9-ntNBO_zrYrgNKuAe_XfTeFnU"",""1-12每月!$J6"")"),67775.0)</f>
        <v>67775</v>
      </c>
      <c r="AL6" s="83">
        <f>IFERROR(__xludf.DUMMYFUNCTION("IMPORTRANGE(""https://docs.google.com/spreadsheets/d/1Y9Uv46r1nA3ixCGwTWZqhGQWDt4KVX4iXmhJgHL5CGQ"",""1-12每月!$J6"")"),29788.0)</f>
        <v>29788</v>
      </c>
      <c r="AM6" s="83">
        <f>IFERROR(__xludf.DUMMYFUNCTION("IMPORTRANGE(""https://docs.google.com/spreadsheets/d/1E3X732-CKfouAVQOwKyrePWwI1Bwg9NHD0VD42lyiu4/edit?gid=1513765949#gid=1513765949"",""1-12每月!$J6"")"),46534.0)</f>
        <v>46534</v>
      </c>
      <c r="AN6" s="114"/>
      <c r="AO6" s="114"/>
      <c r="AP6" s="114"/>
      <c r="AQ6" s="114"/>
      <c r="AR6" s="84"/>
    </row>
    <row r="7" ht="15.75" customHeight="1">
      <c r="A7" s="85">
        <v>3.0</v>
      </c>
      <c r="B7" s="83"/>
      <c r="C7" s="83"/>
      <c r="D7" s="83"/>
      <c r="E7" s="83"/>
      <c r="F7" s="83"/>
      <c r="G7" s="83"/>
      <c r="H7" s="83"/>
      <c r="I7" s="83"/>
      <c r="J7" s="83"/>
      <c r="K7" s="83"/>
      <c r="L7" s="83"/>
      <c r="M7" s="83"/>
      <c r="N7" s="83"/>
      <c r="O7" s="83"/>
      <c r="P7" s="83">
        <f>IFERROR(__xludf.DUMMYFUNCTION("IMPORTRANGE(""https://docs.google.com/spreadsheets/d/1f4WWQfcNBonYqfzcaBhJlHzPwh34sx4U6naz-Aw2G4I/edit#gid=2097425894?usp=sharing"",""1-12每月!$K7"")"),79660.0)</f>
        <v>79660</v>
      </c>
      <c r="Q7" s="83">
        <f>IFERROR(__xludf.DUMMYFUNCTION("IMPORTRANGE(""https://docs.google.com/spreadsheets/d/1pCmmgCj7Y_SQPZLsiVd3yvND9oLyryVfBwNxC6OUwm8/edit#gid=170549058?usp=sharing"",""1-12每月!$K7"")"),35678.0)</f>
        <v>35678</v>
      </c>
      <c r="R7" s="83">
        <f>IFERROR(__xludf.DUMMYFUNCTION("IMPORTRANGE(""https://docs.google.com/spreadsheets/d/1hrRqxxacrLITR_JGMRVbhSRCIZIU8gAv0o_aOkHz68M/edit#gid=763155734?usp=sharing"",""1-12每月!$K7"")"),34201.0)</f>
        <v>34201</v>
      </c>
      <c r="S7" s="83">
        <f>IFERROR(__xludf.DUMMYFUNCTION("IMPORTRANGE(""https://docs.google.com/spreadsheets/d/1AKS3XWcgwNLFRbGU-lJ3UBHDQNdglvKwrv4_Bpp1IjU/edit#gid=73116376?usp=sharing"",""1-12每月!$J7"")"),38426.0)</f>
        <v>38426</v>
      </c>
      <c r="T7" s="83">
        <f>IFERROR(__xludf.DUMMYFUNCTION("IMPORTRANGE(""https://docs.google.com/spreadsheets/d/1wGGXGHkWT5JsjUDTy4FnHN_O9ae4MADbMykqIWVThNc/edit#gid=297806252?usp=sharing"",""1-12每月!$J7"")"),30626.0)</f>
        <v>30626</v>
      </c>
      <c r="U7" s="83">
        <f>IFERROR(__xludf.DUMMYFUNCTION("IMPORTRANGE(""https://docs.google.com/spreadsheets/d/1ShTgtQQDjMKpYx-TJ_lwdxnWSzJNUcNnzR3fJjoaZec/edit#gid=66107904?usp=sharing"",""1-12每月!$J7"")"),31960.0)</f>
        <v>31960</v>
      </c>
      <c r="V7" s="83">
        <f>IFERROR(__xludf.DUMMYFUNCTION("IMPORTRANGE(""https://docs.google.com/spreadsheets/d/1_eyuyKbXFCJd6fVFEKQwugwYCbRCmmWN_M7XR1dtOb8/edit#gid=951918895?usp=sharing"",""1-12每月!$J7"")"),27746.0)</f>
        <v>27746</v>
      </c>
      <c r="W7" s="83">
        <f>IFERROR(__xludf.DUMMYFUNCTION("IMPORTRANGE(""https://docs.google.com/spreadsheets/d/1yEpHI9_Y4w8sRmPP9C-mYK4NMfVuTJifGLMj4FMdqek/edit#gid=799087919?usp=sharing"",""1-12每月!$J7"")"),28043.0)</f>
        <v>28043</v>
      </c>
      <c r="X7" s="83">
        <f>IFERROR(__xludf.DUMMYFUNCTION("IMPORTRANGE(""https://docs.google.com/spreadsheets/d/1Vbyb9GlrY6jOwvoGyZFB96f7WXYjkT6gvTE37DPDXDI/edit#gid=9591526?usp=sharing"",""1-12每月!$J7"")"),17788.0)</f>
        <v>17788</v>
      </c>
      <c r="Y7" s="83">
        <f>IFERROR(__xludf.DUMMYFUNCTION("IMPORTRANGE(""https://docs.google.com/spreadsheets/d/1qeckoJwzWQAg8zQ80D-QJP4pnVYH6l2juaUyHtOu6y8/edit#gid=1905704096?usp=sharing"",""1-12每月!$J7"")"),20458.0)</f>
        <v>20458</v>
      </c>
      <c r="Z7" s="83">
        <f>IFERROR(__xludf.DUMMYFUNCTION("IMPORTRANGE(""https://docs.google.com/spreadsheets/d/1BcbIi7AD1VDpy_wMQ0YjCG-iuQy0_tkCVqr72a0Pwbg/edit#gid=1099513714?usp=sharing"",""1-12每月!$J7"")"),24570.0)</f>
        <v>24570</v>
      </c>
      <c r="AA7" s="83">
        <f>IFERROR(__xludf.DUMMYFUNCTION("IMPORTRANGE(""https://docs.google.com/spreadsheets/d/1cIFCQPaYiOmIt2O3vkEx5eto8sfRtx3JtAWJ1fv31HI/edit#gid=432689709?usp=sharing"",""1-12每月!$J7"")"),38610.0)</f>
        <v>38610</v>
      </c>
      <c r="AB7" s="83">
        <f>IFERROR(__xludf.DUMMYFUNCTION("IMPORTRANGE(""https://docs.google.com/spreadsheets/d/1C8ECYlbes2CJkHHGOAyOYVfrP7PdlGr8RMjK7KZd0_o/edit#gid=495469277?usp=sharing"",""1-12每月!$J7"")"),26790.0)</f>
        <v>26790</v>
      </c>
      <c r="AC7" s="83">
        <f>IFERROR(__xludf.DUMMYFUNCTION("IMPORTRANGE(""https://docs.google.com/spreadsheets/d/1ettcrhLPK6tkvHZxDTyU2bGIpGSi2ynG91ln0fqz9iE/edit#gid=1364213386?usp=sharing"",""1-12每月!$K7"")"),26046.0)</f>
        <v>26046</v>
      </c>
      <c r="AD7" s="83">
        <f>IFERROR(__xludf.DUMMYFUNCTION("IMPORTRANGE(""https://docs.google.com/spreadsheets/d/1xUhm-MtqzfUO8M5WEWVv9w2EFkv5_PHMOsAlA3CcCWU/edit#gid=1700470961?usp=sharing"",""1-12每月!$K7"")"),22819.0)</f>
        <v>22819</v>
      </c>
      <c r="AE7" s="83">
        <f>IFERROR(__xludf.DUMMYFUNCTION("IMPORTRANGE(""https://docs.google.com/spreadsheets/d/1DP8wl0QQLYSZ8R2aQ8wNmiAUXn7lVrqMsdTccpBmnQc/edit#gid=1145593933?usp=sharing"",""1-12每月!$K7"")"),20317.0)</f>
        <v>20317</v>
      </c>
      <c r="AF7" s="83">
        <f>IFERROR(__xludf.DUMMYFUNCTION("IMPORTRANGE(""https://docs.google.com/spreadsheets/d/17hbKAHrpKLEbG3r9s1Ay3fOGzvOBzSu3Bn_CD4JNLhY/edit#gid=756408948?usp=sharing"",""1-12每月!$K7"")"),34841.0)</f>
        <v>34841</v>
      </c>
      <c r="AG7" s="83">
        <f>IFERROR(__xludf.DUMMYFUNCTION("IMPORTRANGE(""https://docs.google.com/spreadsheets/d/1qeecSCKZ78ENQrsyUYpSNZqvo0-Y-uuGKFA1F06yLEM/edit#gid=874445072?usp=sharing"",""1-12每月!$K7"")"),18235.0)</f>
        <v>18235</v>
      </c>
      <c r="AH7" s="83">
        <f>IFERROR(__xludf.DUMMYFUNCTION("IMPORTRANGE(""https://docs.google.com/spreadsheets/d/1BSX0y1fIKw9-3VTr627UzGVjwKe74kwBkuFnvlaueNo/edit#gid=1113655470"",""1-12每月!$K7"")"),28888.0)</f>
        <v>28888</v>
      </c>
      <c r="AI7" s="83">
        <f>IFERROR(__xludf.DUMMYFUNCTION("IMPORTRANGE(""https://docs.google.com/spreadsheets/d/1bQzlrSGiVqBrfQ6FKnw67vhBELFgthonryGzmQabVFQ/edit#gid=1015697053"",""1-12每月!$K7"")"),42346.0)</f>
        <v>42346</v>
      </c>
      <c r="AJ7" s="83">
        <f>IFERROR(__xludf.DUMMYFUNCTION("IMPORTRANGE(""https://docs.google.com/spreadsheets/d/1Pem-mgCz4CF6EUKNVxDQx16g9jie0F5YNDQ_cPnMHYs"",""1-12每月!$K7"")"),37539.0)</f>
        <v>37539</v>
      </c>
      <c r="AK7" s="83">
        <f>IFERROR(__xludf.DUMMYFUNCTION("IMPORTRANGE(""https://docs.google.com/spreadsheets/d/1ZoRtUl0m9T3TpY8H-9-ntNBO_zrYrgNKuAe_XfTeFnU"",""1-12每月!$J7"")"),38860.0)</f>
        <v>38860</v>
      </c>
      <c r="AL7" s="83">
        <f>IFERROR(__xludf.DUMMYFUNCTION("IMPORTRANGE(""https://docs.google.com/spreadsheets/d/1Y9Uv46r1nA3ixCGwTWZqhGQWDt4KVX4iXmhJgHL5CGQ"",""1-12每月!$J7"")"),28844.0)</f>
        <v>28844</v>
      </c>
      <c r="AM7" s="83">
        <f>IFERROR(__xludf.DUMMYFUNCTION("IMPORTRANGE(""https://docs.google.com/spreadsheets/d/1E3X732-CKfouAVQOwKyrePWwI1Bwg9NHD0VD42lyiu4/edit?gid=1513765949#gid=1513765949"",""1-12每月!$J7"")"),36895.0)</f>
        <v>36895</v>
      </c>
      <c r="AN7" s="114"/>
      <c r="AO7" s="114"/>
      <c r="AP7" s="114"/>
      <c r="AQ7" s="114"/>
      <c r="AR7" s="84"/>
    </row>
    <row r="8" ht="15.75" customHeight="1">
      <c r="A8" s="85">
        <v>4.0</v>
      </c>
      <c r="B8" s="83"/>
      <c r="C8" s="83"/>
      <c r="D8" s="83"/>
      <c r="E8" s="83"/>
      <c r="F8" s="83"/>
      <c r="G8" s="83"/>
      <c r="H8" s="83"/>
      <c r="I8" s="83"/>
      <c r="J8" s="83"/>
      <c r="K8" s="83"/>
      <c r="L8" s="83"/>
      <c r="M8" s="83"/>
      <c r="N8" s="83"/>
      <c r="O8" s="83"/>
      <c r="P8" s="83">
        <f>IFERROR(__xludf.DUMMYFUNCTION("IMPORTRANGE(""https://docs.google.com/spreadsheets/d/1f4WWQfcNBonYqfzcaBhJlHzPwh34sx4U6naz-Aw2G4I/edit#gid=2097425894?usp=sharing"",""1-12每月!$K8"")"),67917.0)</f>
        <v>67917</v>
      </c>
      <c r="Q8" s="83">
        <f>IFERROR(__xludf.DUMMYFUNCTION("IMPORTRANGE(""https://docs.google.com/spreadsheets/d/1pCmmgCj7Y_SQPZLsiVd3yvND9oLyryVfBwNxC6OUwm8/edit#gid=170549058?usp=sharing"",""1-12每月!$K8"")"),53378.0)</f>
        <v>53378</v>
      </c>
      <c r="R8" s="83">
        <f>IFERROR(__xludf.DUMMYFUNCTION("IMPORTRANGE(""https://docs.google.com/spreadsheets/d/1hrRqxxacrLITR_JGMRVbhSRCIZIU8gAv0o_aOkHz68M/edit#gid=763155734?usp=sharing"",""1-12每月!$K8"")"),49589.0)</f>
        <v>49589</v>
      </c>
      <c r="S8" s="83">
        <f>IFERROR(__xludf.DUMMYFUNCTION("IMPORTRANGE(""https://docs.google.com/spreadsheets/d/1AKS3XWcgwNLFRbGU-lJ3UBHDQNdglvKwrv4_Bpp1IjU/edit#gid=73116376?usp=sharing"",""1-12每月!$J8"")"),50100.0)</f>
        <v>50100</v>
      </c>
      <c r="T8" s="83">
        <f>IFERROR(__xludf.DUMMYFUNCTION("IMPORTRANGE(""https://docs.google.com/spreadsheets/d/1wGGXGHkWT5JsjUDTy4FnHN_O9ae4MADbMykqIWVThNc/edit#gid=297806252?usp=sharing"",""1-12每月!$J8"")"),49704.0)</f>
        <v>49704</v>
      </c>
      <c r="U8" s="83">
        <f>IFERROR(__xludf.DUMMYFUNCTION("IMPORTRANGE(""https://docs.google.com/spreadsheets/d/1ShTgtQQDjMKpYx-TJ_lwdxnWSzJNUcNnzR3fJjoaZec/edit#gid=66107904?usp=sharing"",""1-12每月!$J8"")"),41111.0)</f>
        <v>41111</v>
      </c>
      <c r="V8" s="83">
        <f>IFERROR(__xludf.DUMMYFUNCTION("IMPORTRANGE(""https://docs.google.com/spreadsheets/d/1_eyuyKbXFCJd6fVFEKQwugwYCbRCmmWN_M7XR1dtOb8/edit#gid=951918895?usp=sharing"",""1-12每月!$J8"")"),30986.0)</f>
        <v>30986</v>
      </c>
      <c r="W8" s="83">
        <f>IFERROR(__xludf.DUMMYFUNCTION("IMPORTRANGE(""https://docs.google.com/spreadsheets/d/1yEpHI9_Y4w8sRmPP9C-mYK4NMfVuTJifGLMj4FMdqek/edit#gid=799087919?usp=sharing"",""1-12每月!$J8"")"),28043.0)</f>
        <v>28043</v>
      </c>
      <c r="X8" s="83">
        <f>IFERROR(__xludf.DUMMYFUNCTION("IMPORTRANGE(""https://docs.google.com/spreadsheets/d/1Vbyb9GlrY6jOwvoGyZFB96f7WXYjkT6gvTE37DPDXDI/edit#gid=9591526?usp=sharing"",""1-12每月!$J8"")"),31459.0)</f>
        <v>31459</v>
      </c>
      <c r="Y8" s="83">
        <f>IFERROR(__xludf.DUMMYFUNCTION("IMPORTRANGE(""https://docs.google.com/spreadsheets/d/1qeckoJwzWQAg8zQ80D-QJP4pnVYH6l2juaUyHtOu6y8/edit#gid=1905704096?usp=sharing"",""1-12每月!$J8"")"),33228.0)</f>
        <v>33228</v>
      </c>
      <c r="Z8" s="83">
        <f>IFERROR(__xludf.DUMMYFUNCTION("IMPORTRANGE(""https://docs.google.com/spreadsheets/d/1BcbIi7AD1VDpy_wMQ0YjCG-iuQy0_tkCVqr72a0Pwbg/edit#gid=1099513714?usp=sharing"",""1-12每月!$J8"")"),38110.0)</f>
        <v>38110</v>
      </c>
      <c r="AA8" s="83">
        <f>IFERROR(__xludf.DUMMYFUNCTION("IMPORTRANGE(""https://docs.google.com/spreadsheets/d/1cIFCQPaYiOmIt2O3vkEx5eto8sfRtx3JtAWJ1fv31HI/edit#gid=432689709?usp=sharing"",""1-12每月!$J8"")"),40061.0)</f>
        <v>40061</v>
      </c>
      <c r="AB8" s="83">
        <f>IFERROR(__xludf.DUMMYFUNCTION("IMPORTRANGE(""https://docs.google.com/spreadsheets/d/1C8ECYlbes2CJkHHGOAyOYVfrP7PdlGr8RMjK7KZd0_o/edit#gid=495469277?usp=sharing"",""1-12每月!$J8"")"),40489.0)</f>
        <v>40489</v>
      </c>
      <c r="AC8" s="83">
        <f>IFERROR(__xludf.DUMMYFUNCTION("IMPORTRANGE(""https://docs.google.com/spreadsheets/d/1ettcrhLPK6tkvHZxDTyU2bGIpGSi2ynG91ln0fqz9iE/edit#gid=1364213386?usp=sharing"",""1-12每月!$K8"")"),43840.0)</f>
        <v>43840</v>
      </c>
      <c r="AD8" s="83">
        <f>IFERROR(__xludf.DUMMYFUNCTION("IMPORTRANGE(""https://docs.google.com/spreadsheets/d/1xUhm-MtqzfUO8M5WEWVv9w2EFkv5_PHMOsAlA3CcCWU/edit#gid=1700470961?usp=sharing"",""1-12每月!$K8"")"),48003.0)</f>
        <v>48003</v>
      </c>
      <c r="AE8" s="83">
        <f>IFERROR(__xludf.DUMMYFUNCTION("IMPORTRANGE(""https://docs.google.com/spreadsheets/d/1DP8wl0QQLYSZ8R2aQ8wNmiAUXn7lVrqMsdTccpBmnQc/edit#gid=1145593933?usp=sharing"",""1-12每月!$K8"")"),54495.0)</f>
        <v>54495</v>
      </c>
      <c r="AF8" s="83">
        <f>IFERROR(__xludf.DUMMYFUNCTION("IMPORTRANGE(""https://docs.google.com/spreadsheets/d/17hbKAHrpKLEbG3r9s1Ay3fOGzvOBzSu3Bn_CD4JNLhY/edit#gid=756408948?usp=sharing"",""1-12每月!$K8"")"),41505.0)</f>
        <v>41505</v>
      </c>
      <c r="AG8" s="83">
        <f>IFERROR(__xludf.DUMMYFUNCTION("IMPORTRANGE(""https://docs.google.com/spreadsheets/d/1qeecSCKZ78ENQrsyUYpSNZqvo0-Y-uuGKFA1F06yLEM/edit#gid=874445072?usp=sharing"",""1-12每月!$K8"")"),17117.0)</f>
        <v>17117</v>
      </c>
      <c r="AH8" s="83">
        <f>IFERROR(__xludf.DUMMYFUNCTION("IMPORTRANGE(""https://docs.google.com/spreadsheets/d/1BSX0y1fIKw9-3VTr627UzGVjwKe74kwBkuFnvlaueNo/edit#gid=1113655470"",""1-12每月!$K8"")"),47702.0)</f>
        <v>47702</v>
      </c>
      <c r="AI8" s="83">
        <f>IFERROR(__xludf.DUMMYFUNCTION("IMPORTRANGE(""https://docs.google.com/spreadsheets/d/1bQzlrSGiVqBrfQ6FKnw67vhBELFgthonryGzmQabVFQ/edit#gid=1015697053"",""1-12每月!$K8"")"),41484.0)</f>
        <v>41484</v>
      </c>
      <c r="AJ8" s="83">
        <f>IFERROR(__xludf.DUMMYFUNCTION("IMPORTRANGE(""https://docs.google.com/spreadsheets/d/1Pem-mgCz4CF6EUKNVxDQx16g9jie0F5YNDQ_cPnMHYs"",""1-12每月!$K8"")"),64666.0)</f>
        <v>64666</v>
      </c>
      <c r="AK8" s="83">
        <f>IFERROR(__xludf.DUMMYFUNCTION("IMPORTRANGE(""https://docs.google.com/spreadsheets/d/1ZoRtUl0m9T3TpY8H-9-ntNBO_zrYrgNKuAe_XfTeFnU"",""1-12每月!$J8"")"),1659.0)</f>
        <v>1659</v>
      </c>
      <c r="AL8" s="83">
        <f>IFERROR(__xludf.DUMMYFUNCTION("IMPORTRANGE(""https://docs.google.com/spreadsheets/d/1Y9Uv46r1nA3ixCGwTWZqhGQWDt4KVX4iXmhJgHL5CGQ"",""1-12每月!$J8"")"),38336.0)</f>
        <v>38336</v>
      </c>
      <c r="AM8" s="83">
        <f>IFERROR(__xludf.DUMMYFUNCTION("IMPORTRANGE(""https://docs.google.com/spreadsheets/d/1E3X732-CKfouAVQOwKyrePWwI1Bwg9NHD0VD42lyiu4/edit?gid=1513765949#gid=1513765949"",""1-12每月!$J8"")"),41466.0)</f>
        <v>41466</v>
      </c>
      <c r="AN8" s="114"/>
      <c r="AO8" s="114"/>
      <c r="AP8" s="114"/>
      <c r="AQ8" s="114"/>
      <c r="AR8" s="84"/>
    </row>
    <row r="9" ht="15.75" customHeight="1">
      <c r="A9" s="85">
        <v>5.0</v>
      </c>
      <c r="B9" s="83"/>
      <c r="C9" s="83"/>
      <c r="D9" s="83"/>
      <c r="E9" s="83"/>
      <c r="F9" s="83"/>
      <c r="G9" s="83"/>
      <c r="H9" s="83"/>
      <c r="I9" s="83"/>
      <c r="J9" s="83"/>
      <c r="K9" s="83"/>
      <c r="L9" s="83"/>
      <c r="M9" s="83"/>
      <c r="N9" s="83"/>
      <c r="O9" s="83"/>
      <c r="P9" s="83">
        <f>IFERROR(__xludf.DUMMYFUNCTION("IMPORTRANGE(""https://docs.google.com/spreadsheets/d/1f4WWQfcNBonYqfzcaBhJlHzPwh34sx4U6naz-Aw2G4I/edit#gid=2097425894?usp=sharing"",""1-12每月!$K9"")"),34520.0)</f>
        <v>34520</v>
      </c>
      <c r="Q9" s="83">
        <f>IFERROR(__xludf.DUMMYFUNCTION("IMPORTRANGE(""https://docs.google.com/spreadsheets/d/1pCmmgCj7Y_SQPZLsiVd3yvND9oLyryVfBwNxC6OUwm8/edit#gid=170549058?usp=sharing"",""1-12每月!$K9"")"),75125.0)</f>
        <v>75125</v>
      </c>
      <c r="R9" s="83">
        <f>IFERROR(__xludf.DUMMYFUNCTION("IMPORTRANGE(""https://docs.google.com/spreadsheets/d/1hrRqxxacrLITR_JGMRVbhSRCIZIU8gAv0o_aOkHz68M/edit#gid=763155734?usp=sharing"",""1-12每月!$K9"")"),53606.0)</f>
        <v>53606</v>
      </c>
      <c r="S9" s="83">
        <f>IFERROR(__xludf.DUMMYFUNCTION("IMPORTRANGE(""https://docs.google.com/spreadsheets/d/1AKS3XWcgwNLFRbGU-lJ3UBHDQNdglvKwrv4_Bpp1IjU/edit#gid=73116376?usp=sharing"",""1-12每月!$J9"")"),38538.0)</f>
        <v>38538</v>
      </c>
      <c r="T9" s="83">
        <f>IFERROR(__xludf.DUMMYFUNCTION("IMPORTRANGE(""https://docs.google.com/spreadsheets/d/1wGGXGHkWT5JsjUDTy4FnHN_O9ae4MADbMykqIWVThNc/edit#gid=297806252?usp=sharing"",""1-12每月!$J9"")"),40846.0)</f>
        <v>40846</v>
      </c>
      <c r="U9" s="83">
        <f>IFERROR(__xludf.DUMMYFUNCTION("IMPORTRANGE(""https://docs.google.com/spreadsheets/d/1ShTgtQQDjMKpYx-TJ_lwdxnWSzJNUcNnzR3fJjoaZec/edit#gid=66107904?usp=sharing"",""1-12每月!$J9"")"),49116.0)</f>
        <v>49116</v>
      </c>
      <c r="V9" s="83">
        <f>IFERROR(__xludf.DUMMYFUNCTION("IMPORTRANGE(""https://docs.google.com/spreadsheets/d/1_eyuyKbXFCJd6fVFEKQwugwYCbRCmmWN_M7XR1dtOb8/edit#gid=951918895?usp=sharing"",""1-12每月!$J9"")"),38716.0)</f>
        <v>38716</v>
      </c>
      <c r="W9" s="83">
        <f>IFERROR(__xludf.DUMMYFUNCTION("IMPORTRANGE(""https://docs.google.com/spreadsheets/d/1yEpHI9_Y4w8sRmPP9C-mYK4NMfVuTJifGLMj4FMdqek/edit#gid=799087919?usp=sharing"",""1-12每月!$J9"")"),34109.0)</f>
        <v>34109</v>
      </c>
      <c r="X9" s="83">
        <f>IFERROR(__xludf.DUMMYFUNCTION("IMPORTRANGE(""https://docs.google.com/spreadsheets/d/1Vbyb9GlrY6jOwvoGyZFB96f7WXYjkT6gvTE37DPDXDI/edit#gid=9591526?usp=sharing"",""1-12每月!$J9"")"),26573.0)</f>
        <v>26573</v>
      </c>
      <c r="Y9" s="83">
        <f>IFERROR(__xludf.DUMMYFUNCTION("IMPORTRANGE(""https://docs.google.com/spreadsheets/d/1qeckoJwzWQAg8zQ80D-QJP4pnVYH6l2juaUyHtOu6y8/edit#gid=1905704096?usp=sharing"",""1-12每月!$J9"")"),28660.0)</f>
        <v>28660</v>
      </c>
      <c r="Z9" s="83">
        <f>IFERROR(__xludf.DUMMYFUNCTION("IMPORTRANGE(""https://docs.google.com/spreadsheets/d/1BcbIi7AD1VDpy_wMQ0YjCG-iuQy0_tkCVqr72a0Pwbg/edit#gid=1099513714?usp=sharing"",""1-12每月!$J9"")"),27150.0)</f>
        <v>27150</v>
      </c>
      <c r="AA9" s="83">
        <f>IFERROR(__xludf.DUMMYFUNCTION("IMPORTRANGE(""https://docs.google.com/spreadsheets/d/1cIFCQPaYiOmIt2O3vkEx5eto8sfRtx3JtAWJ1fv31HI/edit#gid=432689709?usp=sharing"",""1-12每月!$J9"")"),36035.0)</f>
        <v>36035</v>
      </c>
      <c r="AB9" s="83">
        <f>IFERROR(__xludf.DUMMYFUNCTION("IMPORTRANGE(""https://docs.google.com/spreadsheets/d/1C8ECYlbes2CJkHHGOAyOYVfrP7PdlGr8RMjK7KZd0_o/edit#gid=495469277?usp=sharing"",""1-12每月!$J9"")"),40242.0)</f>
        <v>40242</v>
      </c>
      <c r="AC9" s="83">
        <f>IFERROR(__xludf.DUMMYFUNCTION("IMPORTRANGE(""https://docs.google.com/spreadsheets/d/1ettcrhLPK6tkvHZxDTyU2bGIpGSi2ynG91ln0fqz9iE/edit#gid=1364213386?usp=sharing"",""1-12每月!$K9"")"),35985.0)</f>
        <v>35985</v>
      </c>
      <c r="AD9" s="83">
        <f>IFERROR(__xludf.DUMMYFUNCTION("IMPORTRANGE(""https://docs.google.com/spreadsheets/d/1xUhm-MtqzfUO8M5WEWVv9w2EFkv5_PHMOsAlA3CcCWU/edit#gid=1700470961?usp=sharing"",""1-12每月!$K9"")"),36686.0)</f>
        <v>36686</v>
      </c>
      <c r="AE9" s="83">
        <f>IFERROR(__xludf.DUMMYFUNCTION("IMPORTRANGE(""https://docs.google.com/spreadsheets/d/1DP8wl0QQLYSZ8R2aQ8wNmiAUXn7lVrqMsdTccpBmnQc/edit#gid=1145593933?usp=sharing"",""1-12每月!$K9"")"),24133.0)</f>
        <v>24133</v>
      </c>
      <c r="AF9" s="83">
        <f>IFERROR(__xludf.DUMMYFUNCTION("IMPORTRANGE(""https://docs.google.com/spreadsheets/d/17hbKAHrpKLEbG3r9s1Ay3fOGzvOBzSu3Bn_CD4JNLhY/edit#gid=756408948?usp=sharing"",""1-12每月!$K9"")"),23646.0)</f>
        <v>23646</v>
      </c>
      <c r="AG9" s="83">
        <f>IFERROR(__xludf.DUMMYFUNCTION("IMPORTRANGE(""https://docs.google.com/spreadsheets/d/1qeecSCKZ78ENQrsyUYpSNZqvo0-Y-uuGKFA1F06yLEM/edit#gid=874445072?usp=sharing"",""1-12每月!$K9"")"),26995.0)</f>
        <v>26995</v>
      </c>
      <c r="AH9" s="83">
        <f>IFERROR(__xludf.DUMMYFUNCTION("IMPORTRANGE(""https://docs.google.com/spreadsheets/d/1BSX0y1fIKw9-3VTr627UzGVjwKe74kwBkuFnvlaueNo/edit#gid=1113655470"",""1-12每月!$K9"")"),20291.0)</f>
        <v>20291</v>
      </c>
      <c r="AI9" s="83">
        <f>IFERROR(__xludf.DUMMYFUNCTION("IMPORTRANGE(""https://docs.google.com/spreadsheets/d/1bQzlrSGiVqBrfQ6FKnw67vhBELFgthonryGzmQabVFQ/edit#gid=1015697053"",""1-12每月!$K9"")"),13750.0)</f>
        <v>13750</v>
      </c>
      <c r="AJ9" s="83">
        <f>IFERROR(__xludf.DUMMYFUNCTION("IMPORTRANGE(""https://docs.google.com/spreadsheets/d/1Pem-mgCz4CF6EUKNVxDQx16g9jie0F5YNDQ_cPnMHYs"",""1-12每月!$K9"")"),40331.0)</f>
        <v>40331</v>
      </c>
      <c r="AK9" s="83">
        <f>IFERROR(__xludf.DUMMYFUNCTION("IMPORTRANGE(""https://docs.google.com/spreadsheets/d/1ZoRtUl0m9T3TpY8H-9-ntNBO_zrYrgNKuAe_XfTeFnU"",""1-12每月!$J9"")"),0.0)</f>
        <v>0</v>
      </c>
      <c r="AL9" s="83">
        <f>IFERROR(__xludf.DUMMYFUNCTION("IMPORTRANGE(""https://docs.google.com/spreadsheets/d/1Y9Uv46r1nA3ixCGwTWZqhGQWDt4KVX4iXmhJgHL5CGQ"",""1-12每月!$J9"")"),31788.0)</f>
        <v>31788</v>
      </c>
      <c r="AM9" s="83">
        <f>IFERROR(__xludf.DUMMYFUNCTION("IMPORTRANGE(""https://docs.google.com/spreadsheets/d/1E3X732-CKfouAVQOwKyrePWwI1Bwg9NHD0VD42lyiu4/edit?gid=1513765949#gid=1513765949"",""1-12每月!$J9"")"),29266.0)</f>
        <v>29266</v>
      </c>
      <c r="AN9" s="114"/>
      <c r="AO9" s="114"/>
      <c r="AP9" s="114"/>
      <c r="AQ9" s="114"/>
      <c r="AR9" s="84"/>
    </row>
    <row r="10" ht="21.75" customHeight="1">
      <c r="A10" s="85">
        <v>6.0</v>
      </c>
      <c r="B10" s="83"/>
      <c r="C10" s="83"/>
      <c r="D10" s="83"/>
      <c r="E10" s="83"/>
      <c r="F10" s="83"/>
      <c r="G10" s="83"/>
      <c r="H10" s="83"/>
      <c r="I10" s="83"/>
      <c r="J10" s="83"/>
      <c r="K10" s="83"/>
      <c r="L10" s="83"/>
      <c r="M10" s="83"/>
      <c r="N10" s="83"/>
      <c r="O10" s="83"/>
      <c r="P10" s="83">
        <f>IFERROR(__xludf.DUMMYFUNCTION("IMPORTRANGE(""https://docs.google.com/spreadsheets/d/1f4WWQfcNBonYqfzcaBhJlHzPwh34sx4U6naz-Aw2G4I/edit#gid=2097425894?usp=sharing"",""1-12每月!$K10"")"),62224.0)</f>
        <v>62224</v>
      </c>
      <c r="Q10" s="83">
        <f>IFERROR(__xludf.DUMMYFUNCTION("IMPORTRANGE(""https://docs.google.com/spreadsheets/d/1pCmmgCj7Y_SQPZLsiVd3yvND9oLyryVfBwNxC6OUwm8/edit#gid=170549058?usp=sharing"",""1-12每月!$K10"")"),80557.0)</f>
        <v>80557</v>
      </c>
      <c r="R10" s="83">
        <f>IFERROR(__xludf.DUMMYFUNCTION("IMPORTRANGE(""https://docs.google.com/spreadsheets/d/1hrRqxxacrLITR_JGMRVbhSRCIZIU8gAv0o_aOkHz68M/edit#gid=763155734?usp=sharing"",""1-12每月!$K10"")"),57796.0)</f>
        <v>57796</v>
      </c>
      <c r="S10" s="83">
        <f>IFERROR(__xludf.DUMMYFUNCTION("IMPORTRANGE(""https://docs.google.com/spreadsheets/d/1AKS3XWcgwNLFRbGU-lJ3UBHDQNdglvKwrv4_Bpp1IjU/edit#gid=73116376?usp=sharing"",""1-12每月!$J10"")"),46751.0)</f>
        <v>46751</v>
      </c>
      <c r="T10" s="83">
        <f>IFERROR(__xludf.DUMMYFUNCTION("IMPORTRANGE(""https://docs.google.com/spreadsheets/d/1wGGXGHkWT5JsjUDTy4FnHN_O9ae4MADbMykqIWVThNc/edit#gid=297806252?usp=sharing"",""1-12每月!$J10"")"),53024.0)</f>
        <v>53024</v>
      </c>
      <c r="U10" s="83">
        <f>IFERROR(__xludf.DUMMYFUNCTION("IMPORTRANGE(""https://docs.google.com/spreadsheets/d/1ShTgtQQDjMKpYx-TJ_lwdxnWSzJNUcNnzR3fJjoaZec/edit#gid=66107904?usp=sharing"",""1-12每月!$J10"")"),50803.0)</f>
        <v>50803</v>
      </c>
      <c r="V10" s="83">
        <f>IFERROR(__xludf.DUMMYFUNCTION("IMPORTRANGE(""https://docs.google.com/spreadsheets/d/1_eyuyKbXFCJd6fVFEKQwugwYCbRCmmWN_M7XR1dtOb8/edit#gid=951918895?usp=sharing"",""1-12每月!$J10"")"),38386.0)</f>
        <v>38386</v>
      </c>
      <c r="W10" s="83">
        <f>IFERROR(__xludf.DUMMYFUNCTION("IMPORTRANGE(""https://docs.google.com/spreadsheets/d/1yEpHI9_Y4w8sRmPP9C-mYK4NMfVuTJifGLMj4FMdqek/edit#gid=799087919?usp=sharing"",""1-12每月!$J10"")"),36570.0)</f>
        <v>36570</v>
      </c>
      <c r="X10" s="83">
        <f>IFERROR(__xludf.DUMMYFUNCTION("IMPORTRANGE(""https://docs.google.com/spreadsheets/d/1Vbyb9GlrY6jOwvoGyZFB96f7WXYjkT6gvTE37DPDXDI/edit#gid=9591526?usp=sharing"",""1-12每月!$J10"")"),45380.0)</f>
        <v>45380</v>
      </c>
      <c r="Y10" s="83">
        <f>IFERROR(__xludf.DUMMYFUNCTION("IMPORTRANGE(""https://docs.google.com/spreadsheets/d/1qeckoJwzWQAg8zQ80D-QJP4pnVYH6l2juaUyHtOu6y8/edit#gid=1905704096?usp=sharing"",""1-12每月!$J10"")"),34834.0)</f>
        <v>34834</v>
      </c>
      <c r="Z10" s="83">
        <f>IFERROR(__xludf.DUMMYFUNCTION("IMPORTRANGE(""https://docs.google.com/spreadsheets/d/1BcbIi7AD1VDpy_wMQ0YjCG-iuQy0_tkCVqr72a0Pwbg/edit#gid=1099513714?usp=sharing"",""1-12每月!$J10"")"),47930.0)</f>
        <v>47930</v>
      </c>
      <c r="AA10" s="83">
        <f>IFERROR(__xludf.DUMMYFUNCTION("IMPORTRANGE(""https://docs.google.com/spreadsheets/d/1cIFCQPaYiOmIt2O3vkEx5eto8sfRtx3JtAWJ1fv31HI/edit#gid=432689709?usp=sharing"",""1-12每月!$J10"")"),55444.0)</f>
        <v>55444</v>
      </c>
      <c r="AB10" s="83">
        <f>IFERROR(__xludf.DUMMYFUNCTION("IMPORTRANGE(""https://docs.google.com/spreadsheets/d/1C8ECYlbes2CJkHHGOAyOYVfrP7PdlGr8RMjK7KZd0_o/edit#gid=495469277?usp=sharing"",""1-12每月!$J10"")"),46259.0)</f>
        <v>46259</v>
      </c>
      <c r="AC10" s="83">
        <f>IFERROR(__xludf.DUMMYFUNCTION("IMPORTRANGE(""https://docs.google.com/spreadsheets/d/1ettcrhLPK6tkvHZxDTyU2bGIpGSi2ynG91ln0fqz9iE/edit#gid=1364213386?usp=sharing"",""1-12每月!$K10"")"),49417.0)</f>
        <v>49417</v>
      </c>
      <c r="AD10" s="83">
        <f>IFERROR(__xludf.DUMMYFUNCTION("IMPORTRANGE(""https://docs.google.com/spreadsheets/d/1xUhm-MtqzfUO8M5WEWVv9w2EFkv5_PHMOsAlA3CcCWU/edit#gid=1700470961?usp=sharing"",""1-12每月!$K10"")"),25286.0)</f>
        <v>25286</v>
      </c>
      <c r="AE10" s="83">
        <f>IFERROR(__xludf.DUMMYFUNCTION("IMPORTRANGE(""https://docs.google.com/spreadsheets/d/1DP8wl0QQLYSZ8R2aQ8wNmiAUXn7lVrqMsdTccpBmnQc/edit#gid=1145593933?usp=sharing"",""1-12每月!$K10"")"),34883.0)</f>
        <v>34883</v>
      </c>
      <c r="AF10" s="83">
        <f>IFERROR(__xludf.DUMMYFUNCTION("IMPORTRANGE(""https://docs.google.com/spreadsheets/d/17hbKAHrpKLEbG3r9s1Ay3fOGzvOBzSu3Bn_CD4JNLhY/edit#gid=756408948?usp=sharing"",""1-12每月!$K10"")"),41914.0)</f>
        <v>41914</v>
      </c>
      <c r="AG10" s="83">
        <f>IFERROR(__xludf.DUMMYFUNCTION("IMPORTRANGE(""https://docs.google.com/spreadsheets/d/1qeecSCKZ78ENQrsyUYpSNZqvo0-Y-uuGKFA1F06yLEM/edit#gid=874445072?usp=sharing"",""1-12每月!$K10"")"),63575.0)</f>
        <v>63575</v>
      </c>
      <c r="AH10" s="83">
        <f>IFERROR(__xludf.DUMMYFUNCTION("IMPORTRANGE(""https://docs.google.com/spreadsheets/d/1BSX0y1fIKw9-3VTr627UzGVjwKe74kwBkuFnvlaueNo/edit#gid=1113655470"",""1-12每月!$K10"")"),0.0)</f>
        <v>0</v>
      </c>
      <c r="AI10" s="83">
        <f>IFERROR(__xludf.DUMMYFUNCTION("IMPORTRANGE(""https://docs.google.com/spreadsheets/d/1bQzlrSGiVqBrfQ6FKnw67vhBELFgthonryGzmQabVFQ/edit#gid=1015697053"",""1-12每月!$K10"")"),41256.0)</f>
        <v>41256</v>
      </c>
      <c r="AJ10" s="83">
        <f>IFERROR(__xludf.DUMMYFUNCTION("IMPORTRANGE(""https://docs.google.com/spreadsheets/d/1Pem-mgCz4CF6EUKNVxDQx16g9jie0F5YNDQ_cPnMHYs"",""1-12每月!$K10"")"),61410.0)</f>
        <v>61410</v>
      </c>
      <c r="AK10" s="83">
        <f>IFERROR(__xludf.DUMMYFUNCTION("IMPORTRANGE(""https://docs.google.com/spreadsheets/d/1ZoRtUl0m9T3TpY8H-9-ntNBO_zrYrgNKuAe_XfTeFnU"",""1-12每月!$J10"")"),25536.0)</f>
        <v>25536</v>
      </c>
      <c r="AL10" s="83">
        <f>IFERROR(__xludf.DUMMYFUNCTION("IMPORTRANGE(""https://docs.google.com/spreadsheets/d/1Y9Uv46r1nA3ixCGwTWZqhGQWDt4KVX4iXmhJgHL5CGQ"",""1-12每月!$J10"")"),39962.0)</f>
        <v>39962</v>
      </c>
      <c r="AM10" s="83">
        <f>IFERROR(__xludf.DUMMYFUNCTION("IMPORTRANGE(""https://docs.google.com/spreadsheets/d/1E3X732-CKfouAVQOwKyrePWwI1Bwg9NHD0VD42lyiu4/edit?gid=1513765949#gid=1513765949"",""1-12每月!$J10"")"),29455.0)</f>
        <v>29455</v>
      </c>
      <c r="AN10" s="115"/>
      <c r="AO10" s="115"/>
      <c r="AP10" s="115"/>
      <c r="AQ10" s="115"/>
      <c r="AR10" s="108"/>
    </row>
    <row r="11" ht="15.75" customHeight="1">
      <c r="A11" s="85">
        <v>7.0</v>
      </c>
      <c r="B11" s="83"/>
      <c r="C11" s="83"/>
      <c r="D11" s="83"/>
      <c r="E11" s="83"/>
      <c r="F11" s="83"/>
      <c r="G11" s="83"/>
      <c r="H11" s="83"/>
      <c r="I11" s="83"/>
      <c r="J11" s="83"/>
      <c r="K11" s="83"/>
      <c r="L11" s="83"/>
      <c r="M11" s="83"/>
      <c r="N11" s="83"/>
      <c r="O11" s="83"/>
      <c r="P11" s="83">
        <f>IFERROR(__xludf.DUMMYFUNCTION("IMPORTRANGE(""https://docs.google.com/spreadsheets/d/1f4WWQfcNBonYqfzcaBhJlHzPwh34sx4U6naz-Aw2G4I/edit#gid=2097425894?usp=sharing"",""1-12每月!$K11"")"),184598.0)</f>
        <v>184598</v>
      </c>
      <c r="Q11" s="83">
        <f>IFERROR(__xludf.DUMMYFUNCTION("IMPORTRANGE(""https://docs.google.com/spreadsheets/d/1pCmmgCj7Y_SQPZLsiVd3yvND9oLyryVfBwNxC6OUwm8/edit#gid=170549058?usp=sharing"",""1-12每月!$K11"")"),139903.0)</f>
        <v>139903</v>
      </c>
      <c r="R11" s="83">
        <f>IFERROR(__xludf.DUMMYFUNCTION("IMPORTRANGE(""https://docs.google.com/spreadsheets/d/1hrRqxxacrLITR_JGMRVbhSRCIZIU8gAv0o_aOkHz68M/edit#gid=763155734?usp=sharing"",""1-12每月!$K11"")"),137760.0)</f>
        <v>137760</v>
      </c>
      <c r="S11" s="83">
        <f>IFERROR(__xludf.DUMMYFUNCTION("IMPORTRANGE(""https://docs.google.com/spreadsheets/d/1AKS3XWcgwNLFRbGU-lJ3UBHDQNdglvKwrv4_Bpp1IjU/edit#gid=73116376?usp=sharing"",""1-12每月!$J11"")"),113283.0)</f>
        <v>113283</v>
      </c>
      <c r="T11" s="83">
        <f>IFERROR(__xludf.DUMMYFUNCTION("IMPORTRANGE(""https://docs.google.com/spreadsheets/d/1wGGXGHkWT5JsjUDTy4FnHN_O9ae4MADbMykqIWVThNc/edit#gid=297806252?usp=sharing"",""1-12每月!$J11"")"),120105.0)</f>
        <v>120105</v>
      </c>
      <c r="U11" s="83">
        <f>IFERROR(__xludf.DUMMYFUNCTION("IMPORTRANGE(""https://docs.google.com/spreadsheets/d/1ShTgtQQDjMKpYx-TJ_lwdxnWSzJNUcNnzR3fJjoaZec/edit#gid=66107904?usp=sharing"",""1-12每月!$J11"")"),108632.0)</f>
        <v>108632</v>
      </c>
      <c r="V11" s="83">
        <f>IFERROR(__xludf.DUMMYFUNCTION("IMPORTRANGE(""https://docs.google.com/spreadsheets/d/1_eyuyKbXFCJd6fVFEKQwugwYCbRCmmWN_M7XR1dtOb8/edit#gid=951918895?usp=sharing"",""1-12每月!$J11"")"),93348.0)</f>
        <v>93348</v>
      </c>
      <c r="W11" s="83">
        <f>IFERROR(__xludf.DUMMYFUNCTION("IMPORTRANGE(""https://docs.google.com/spreadsheets/d/1yEpHI9_Y4w8sRmPP9C-mYK4NMfVuTJifGLMj4FMdqek/edit#gid=799087919?usp=sharing"",""1-12每月!$J11"")"),91895.0)</f>
        <v>91895</v>
      </c>
      <c r="X11" s="83">
        <f>IFERROR(__xludf.DUMMYFUNCTION("IMPORTRANGE(""https://docs.google.com/spreadsheets/d/1Vbyb9GlrY6jOwvoGyZFB96f7WXYjkT6gvTE37DPDXDI/edit#gid=9591526?usp=sharing"",""1-12每月!$J11"")"),94490.0)</f>
        <v>94490</v>
      </c>
      <c r="Y11" s="83">
        <f>IFERROR(__xludf.DUMMYFUNCTION("IMPORTRANGE(""https://docs.google.com/spreadsheets/d/1qeckoJwzWQAg8zQ80D-QJP4pnVYH6l2juaUyHtOu6y8/edit#gid=1905704096?usp=sharing"",""1-12每月!$J11"")"),83544.0)</f>
        <v>83544</v>
      </c>
      <c r="Z11" s="83">
        <f>IFERROR(__xludf.DUMMYFUNCTION("IMPORTRANGE(""https://docs.google.com/spreadsheets/d/1BcbIi7AD1VDpy_wMQ0YjCG-iuQy0_tkCVqr72a0Pwbg/edit#gid=1099513714?usp=sharing"",""1-12每月!$J11"")"),85404.0)</f>
        <v>85404</v>
      </c>
      <c r="AA11" s="83">
        <f>IFERROR(__xludf.DUMMYFUNCTION("IMPORTRANGE(""https://docs.google.com/spreadsheets/d/1cIFCQPaYiOmIt2O3vkEx5eto8sfRtx3JtAWJ1fv31HI/edit#gid=432689709?usp=sharing"",""1-12每月!$J11"")"),101674.0)</f>
        <v>101674</v>
      </c>
      <c r="AB11" s="83">
        <f>IFERROR(__xludf.DUMMYFUNCTION("IMPORTRANGE(""https://docs.google.com/spreadsheets/d/1C8ECYlbes2CJkHHGOAyOYVfrP7PdlGr8RMjK7KZd0_o/edit#gid=495469277?usp=sharing"",""1-12每月!$J11"")"),92466.0)</f>
        <v>92466</v>
      </c>
      <c r="AC11" s="83">
        <f>IFERROR(__xludf.DUMMYFUNCTION("IMPORTRANGE(""https://docs.google.com/spreadsheets/d/1ettcrhLPK6tkvHZxDTyU2bGIpGSi2ynG91ln0fqz9iE/edit#gid=1364213386?usp=sharing"",""1-12每月!$K11"")"),85315.0)</f>
        <v>85315</v>
      </c>
      <c r="AD11" s="83">
        <f>IFERROR(__xludf.DUMMYFUNCTION("IMPORTRANGE(""https://docs.google.com/spreadsheets/d/1xUhm-MtqzfUO8M5WEWVv9w2EFkv5_PHMOsAlA3CcCWU/edit#gid=1700470961?usp=sharing"",""1-12每月!$K11"")"),63844.0)</f>
        <v>63844</v>
      </c>
      <c r="AE11" s="83">
        <f>IFERROR(__xludf.DUMMYFUNCTION("IMPORTRANGE(""https://docs.google.com/spreadsheets/d/1DP8wl0QQLYSZ8R2aQ8wNmiAUXn7lVrqMsdTccpBmnQc/edit#gid=1145593933?usp=sharing"",""1-12每月!$K11"")"),69044.0)</f>
        <v>69044</v>
      </c>
      <c r="AF11" s="83">
        <f>IFERROR(__xludf.DUMMYFUNCTION("IMPORTRANGE(""https://docs.google.com/spreadsheets/d/17hbKAHrpKLEbG3r9s1Ay3fOGzvOBzSu3Bn_CD4JNLhY/edit#gid=756408948?usp=sharing"",""1-12每月!$K11"")"),76381.0)</f>
        <v>76381</v>
      </c>
      <c r="AG11" s="83">
        <f>IFERROR(__xludf.DUMMYFUNCTION("IMPORTRANGE(""https://docs.google.com/spreadsheets/d/1qeecSCKZ78ENQrsyUYpSNZqvo0-Y-uuGKFA1F06yLEM/edit#gid=874445072?usp=sharing"",""1-12每月!$K11"")"),159493.0)</f>
        <v>159493</v>
      </c>
      <c r="AH11" s="83">
        <f>IFERROR(__xludf.DUMMYFUNCTION("IMPORTRANGE(""https://docs.google.com/spreadsheets/d/1BSX0y1fIKw9-3VTr627UzGVjwKe74kwBkuFnvlaueNo/edit#gid=1113655470"",""1-12每月!$K11"")"),5289.0)</f>
        <v>5289</v>
      </c>
      <c r="AI11" s="83">
        <f>IFERROR(__xludf.DUMMYFUNCTION("IMPORTRANGE(""https://docs.google.com/spreadsheets/d/1bQzlrSGiVqBrfQ6FKnw67vhBELFgthonryGzmQabVFQ/edit#gid=1015697053"",""1-12每月!$K11"")"),128759.0)</f>
        <v>128759</v>
      </c>
      <c r="AJ11" s="83">
        <f>IFERROR(__xludf.DUMMYFUNCTION("IMPORTRANGE(""https://docs.google.com/spreadsheets/d/1Pem-mgCz4CF6EUKNVxDQx16g9jie0F5YNDQ_cPnMHYs"",""1-12每月!$K11"")"),99797.0)</f>
        <v>99797</v>
      </c>
      <c r="AK11" s="83">
        <f>IFERROR(__xludf.DUMMYFUNCTION("IMPORTRANGE(""https://docs.google.com/spreadsheets/d/1ZoRtUl0m9T3TpY8H-9-ntNBO_zrYrgNKuAe_XfTeFnU"",""1-12每月!$J11"")"),24037.0)</f>
        <v>24037</v>
      </c>
      <c r="AL11" s="83">
        <f>IFERROR(__xludf.DUMMYFUNCTION("IMPORTRANGE(""https://docs.google.com/spreadsheets/d/1Y9Uv46r1nA3ixCGwTWZqhGQWDt4KVX4iXmhJgHL5CGQ"",""1-12每月!$J11"")"),54570.0)</f>
        <v>54570</v>
      </c>
      <c r="AM11" s="83">
        <f>IFERROR(__xludf.DUMMYFUNCTION("IMPORTRANGE(""https://docs.google.com/spreadsheets/d/1E3X732-CKfouAVQOwKyrePWwI1Bwg9NHD0VD42lyiu4/edit?gid=1513765949#gid=1513765949"",""1-12每月!$J11"")"),0.0)</f>
        <v>0</v>
      </c>
      <c r="AN11" s="115"/>
      <c r="AO11" s="115"/>
      <c r="AP11" s="115"/>
      <c r="AQ11" s="115"/>
      <c r="AR11" s="108"/>
    </row>
    <row r="12" ht="15.75" customHeight="1">
      <c r="A12" s="85">
        <v>8.0</v>
      </c>
      <c r="B12" s="83"/>
      <c r="C12" s="83"/>
      <c r="D12" s="83"/>
      <c r="E12" s="83"/>
      <c r="F12" s="83"/>
      <c r="G12" s="83"/>
      <c r="H12" s="83"/>
      <c r="I12" s="83"/>
      <c r="J12" s="83"/>
      <c r="K12" s="83"/>
      <c r="L12" s="83"/>
      <c r="M12" s="83"/>
      <c r="N12" s="83"/>
      <c r="O12" s="83"/>
      <c r="P12" s="83">
        <f>IFERROR(__xludf.DUMMYFUNCTION("IMPORTRANGE(""https://docs.google.com/spreadsheets/d/1f4WWQfcNBonYqfzcaBhJlHzPwh34sx4U6naz-Aw2G4I/edit#gid=2097425894?usp=sharing"",""1-12每月!$K12"")"),252101.0)</f>
        <v>252101</v>
      </c>
      <c r="Q12" s="83">
        <f>IFERROR(__xludf.DUMMYFUNCTION("IMPORTRANGE(""https://docs.google.com/spreadsheets/d/1pCmmgCj7Y_SQPZLsiVd3yvND9oLyryVfBwNxC6OUwm8/edit#gid=170549058?usp=sharing"",""1-12每月!$K12"")"),150099.0)</f>
        <v>150099</v>
      </c>
      <c r="R12" s="83">
        <f>IFERROR(__xludf.DUMMYFUNCTION("IMPORTRANGE(""https://docs.google.com/spreadsheets/d/1hrRqxxacrLITR_JGMRVbhSRCIZIU8gAv0o_aOkHz68M/edit#gid=763155734?usp=sharing"",""1-12每月!$K12"")"),121159.0)</f>
        <v>121159</v>
      </c>
      <c r="S12" s="83">
        <f>IFERROR(__xludf.DUMMYFUNCTION("IMPORTRANGE(""https://docs.google.com/spreadsheets/d/1AKS3XWcgwNLFRbGU-lJ3UBHDQNdglvKwrv4_Bpp1IjU/edit#gid=73116376?usp=sharing"",""1-12每月!$J12"")"),115123.0)</f>
        <v>115123</v>
      </c>
      <c r="T12" s="83">
        <f>IFERROR(__xludf.DUMMYFUNCTION("IMPORTRANGE(""https://docs.google.com/spreadsheets/d/1wGGXGHkWT5JsjUDTy4FnHN_O9ae4MADbMykqIWVThNc/edit#gid=297806252?usp=sharing"",""1-12每月!$J12"")"),80284.0)</f>
        <v>80284</v>
      </c>
      <c r="U12" s="83">
        <f>IFERROR(__xludf.DUMMYFUNCTION("IMPORTRANGE(""https://docs.google.com/spreadsheets/d/1ShTgtQQDjMKpYx-TJ_lwdxnWSzJNUcNnzR3fJjoaZec/edit#gid=66107904?usp=sharing"",""1-12每月!$J12"")"),95602.0)</f>
        <v>95602</v>
      </c>
      <c r="V12" s="83">
        <f>IFERROR(__xludf.DUMMYFUNCTION("IMPORTRANGE(""https://docs.google.com/spreadsheets/d/1_eyuyKbXFCJd6fVFEKQwugwYCbRCmmWN_M7XR1dtOb8/edit#gid=951918895?usp=sharing"",""1-12每月!$J12"")"),66652.0)</f>
        <v>66652</v>
      </c>
      <c r="W12" s="83">
        <f>IFERROR(__xludf.DUMMYFUNCTION("IMPORTRANGE(""https://docs.google.com/spreadsheets/d/1yEpHI9_Y4w8sRmPP9C-mYK4NMfVuTJifGLMj4FMdqek/edit#gid=799087919?usp=sharing"",""1-12每月!$J12"")"),92297.0)</f>
        <v>92297</v>
      </c>
      <c r="X12" s="83">
        <f>IFERROR(__xludf.DUMMYFUNCTION("IMPORTRANGE(""https://docs.google.com/spreadsheets/d/1Vbyb9GlrY6jOwvoGyZFB96f7WXYjkT6gvTE37DPDXDI/edit#gid=9591526?usp=sharing"",""1-12每月!$J12"")"),77363.0)</f>
        <v>77363</v>
      </c>
      <c r="Y12" s="83">
        <f>IFERROR(__xludf.DUMMYFUNCTION("IMPORTRANGE(""https://docs.google.com/spreadsheets/d/1qeckoJwzWQAg8zQ80D-QJP4pnVYH6l2juaUyHtOu6y8/edit#gid=1905704096?usp=sharing"",""1-12每月!$J12"")"),53043.0)</f>
        <v>53043</v>
      </c>
      <c r="Z12" s="83">
        <f>IFERROR(__xludf.DUMMYFUNCTION("IMPORTRANGE(""https://docs.google.com/spreadsheets/d/1BcbIi7AD1VDpy_wMQ0YjCG-iuQy0_tkCVqr72a0Pwbg/edit#gid=1099513714?usp=sharing"",""1-12每月!$J12"")"),84076.0)</f>
        <v>84076</v>
      </c>
      <c r="AA12" s="83">
        <f>IFERROR(__xludf.DUMMYFUNCTION("IMPORTRANGE(""https://docs.google.com/spreadsheets/d/1cIFCQPaYiOmIt2O3vkEx5eto8sfRtx3JtAWJ1fv31HI/edit#gid=432689709?usp=sharing"",""1-12每月!$J12"")"),95154.0)</f>
        <v>95154</v>
      </c>
      <c r="AB12" s="83">
        <f>IFERROR(__xludf.DUMMYFUNCTION("IMPORTRANGE(""https://docs.google.com/spreadsheets/d/1C8ECYlbes2CJkHHGOAyOYVfrP7PdlGr8RMjK7KZd0_o/edit#gid=495469277?usp=sharing"",""1-12每月!$J12"")"),71915.0)</f>
        <v>71915</v>
      </c>
      <c r="AC12" s="83">
        <f>IFERROR(__xludf.DUMMYFUNCTION("IMPORTRANGE(""https://docs.google.com/spreadsheets/d/1ettcrhLPK6tkvHZxDTyU2bGIpGSi2ynG91ln0fqz9iE/edit#gid=1364213386?usp=sharing"",""1-12每月!$K12"")"),71177.0)</f>
        <v>71177</v>
      </c>
      <c r="AD12" s="83">
        <f>IFERROR(__xludf.DUMMYFUNCTION("IMPORTRANGE(""https://docs.google.com/spreadsheets/d/1xUhm-MtqzfUO8M5WEWVv9w2EFkv5_PHMOsAlA3CcCWU/edit#gid=1700470961?usp=sharing"",""1-12每月!$K12"")"),71879.0)</f>
        <v>71879</v>
      </c>
      <c r="AE12" s="83">
        <f>IFERROR(__xludf.DUMMYFUNCTION("IMPORTRANGE(""https://docs.google.com/spreadsheets/d/1DP8wl0QQLYSZ8R2aQ8wNmiAUXn7lVrqMsdTccpBmnQc/edit#gid=1145593933?usp=sharing"",""1-12每月!$K12"")"),69342.0)</f>
        <v>69342</v>
      </c>
      <c r="AF12" s="83">
        <f>IFERROR(__xludf.DUMMYFUNCTION("IMPORTRANGE(""https://docs.google.com/spreadsheets/d/17hbKAHrpKLEbG3r9s1Ay3fOGzvOBzSu3Bn_CD4JNLhY/edit#gid=756408948?usp=sharing"",""1-12每月!$K12"")"),60603.0)</f>
        <v>60603</v>
      </c>
      <c r="AG12" s="83">
        <f>IFERROR(__xludf.DUMMYFUNCTION("IMPORTRANGE(""https://docs.google.com/spreadsheets/d/1qeecSCKZ78ENQrsyUYpSNZqvo0-Y-uuGKFA1F06yLEM/edit#gid=874445072?usp=sharing"",""1-12每月!$K12"")"),185382.0)</f>
        <v>185382</v>
      </c>
      <c r="AH12" s="83">
        <f>IFERROR(__xludf.DUMMYFUNCTION("IMPORTRANGE(""https://docs.google.com/spreadsheets/d/1BSX0y1fIKw9-3VTr627UzGVjwKe74kwBkuFnvlaueNo/edit#gid=1113655470"",""1-12每月!$K12"")"),41753.0)</f>
        <v>41753</v>
      </c>
      <c r="AI12" s="83">
        <f>IFERROR(__xludf.DUMMYFUNCTION("IMPORTRANGE(""https://docs.google.com/spreadsheets/d/1bQzlrSGiVqBrfQ6FKnw67vhBELFgthonryGzmQabVFQ/edit#gid=1015697053"",""1-12每月!$K12"")"),171189.0)</f>
        <v>171189</v>
      </c>
      <c r="AJ12" s="83">
        <f>IFERROR(__xludf.DUMMYFUNCTION("IMPORTRANGE(""https://docs.google.com/spreadsheets/d/1Pem-mgCz4CF6EUKNVxDQx16g9jie0F5YNDQ_cPnMHYs"",""1-12每月!$K12"")"),107019.0)</f>
        <v>107019</v>
      </c>
      <c r="AK12" s="83">
        <f>IFERROR(__xludf.DUMMYFUNCTION("IMPORTRANGE(""https://docs.google.com/spreadsheets/d/1ZoRtUl0m9T3TpY8H-9-ntNBO_zrYrgNKuAe_XfTeFnU"",""1-12每月!$J12"")"),40572.0)</f>
        <v>40572</v>
      </c>
      <c r="AL12" s="83">
        <f>IFERROR(__xludf.DUMMYFUNCTION("IMPORTRANGE(""https://docs.google.com/spreadsheets/d/1Y9Uv46r1nA3ixCGwTWZqhGQWDt4KVX4iXmhJgHL5CGQ"",""1-12每月!$J12"")"),78132.0)</f>
        <v>78132</v>
      </c>
      <c r="AM12" s="83">
        <f>IFERROR(__xludf.DUMMYFUNCTION("IMPORTRANGE(""https://docs.google.com/spreadsheets/d/1E3X732-CKfouAVQOwKyrePWwI1Bwg9NHD0VD42lyiu4/edit?gid=1513765949#gid=1513765949"",""1-12每月!$J12"")"),0.0)</f>
        <v>0</v>
      </c>
      <c r="AN12" s="115"/>
      <c r="AO12" s="115"/>
      <c r="AP12" s="115"/>
      <c r="AQ12" s="115"/>
      <c r="AR12" s="108"/>
    </row>
    <row r="13" ht="15.75" customHeight="1">
      <c r="A13" s="85">
        <v>9.0</v>
      </c>
      <c r="B13" s="83"/>
      <c r="C13" s="83"/>
      <c r="D13" s="83"/>
      <c r="E13" s="83"/>
      <c r="F13" s="83"/>
      <c r="G13" s="83"/>
      <c r="H13" s="83"/>
      <c r="I13" s="83"/>
      <c r="J13" s="83"/>
      <c r="K13" s="83"/>
      <c r="L13" s="83"/>
      <c r="M13" s="83"/>
      <c r="N13" s="83"/>
      <c r="O13" s="83"/>
      <c r="P13" s="83">
        <f>IFERROR(__xludf.DUMMYFUNCTION("IMPORTRANGE(""https://docs.google.com/spreadsheets/d/1f4WWQfcNBonYqfzcaBhJlHzPwh34sx4U6naz-Aw2G4I/edit#gid=2097425894?usp=sharing"",""1-12每月!$K13"")"),109273.0)</f>
        <v>109273</v>
      </c>
      <c r="Q13" s="83">
        <f>IFERROR(__xludf.DUMMYFUNCTION("IMPORTRANGE(""https://docs.google.com/spreadsheets/d/1pCmmgCj7Y_SQPZLsiVd3yvND9oLyryVfBwNxC6OUwm8/edit#gid=170549058?usp=sharing"",""1-12每月!$K13"")"),57902.0)</f>
        <v>57902</v>
      </c>
      <c r="R13" s="83">
        <f>IFERROR(__xludf.DUMMYFUNCTION("IMPORTRANGE(""https://docs.google.com/spreadsheets/d/1hrRqxxacrLITR_JGMRVbhSRCIZIU8gAv0o_aOkHz68M/edit#gid=763155734?usp=sharing"",""1-12每月!$K13"")"),45440.0)</f>
        <v>45440</v>
      </c>
      <c r="S13" s="83">
        <f>IFERROR(__xludf.DUMMYFUNCTION("IMPORTRANGE(""https://docs.google.com/spreadsheets/d/1AKS3XWcgwNLFRbGU-lJ3UBHDQNdglvKwrv4_Bpp1IjU/edit#gid=73116376?usp=sharing"",""1-12每月!$J13"")"),46105.0)</f>
        <v>46105</v>
      </c>
      <c r="T13" s="83">
        <f>IFERROR(__xludf.DUMMYFUNCTION("IMPORTRANGE(""https://docs.google.com/spreadsheets/d/1wGGXGHkWT5JsjUDTy4FnHN_O9ae4MADbMykqIWVThNc/edit#gid=297806252?usp=sharing"",""1-12每月!$J13"")"),51767.0)</f>
        <v>51767</v>
      </c>
      <c r="U13" s="83">
        <f>IFERROR(__xludf.DUMMYFUNCTION("IMPORTRANGE(""https://docs.google.com/spreadsheets/d/1ShTgtQQDjMKpYx-TJ_lwdxnWSzJNUcNnzR3fJjoaZec/edit#gid=66107904?usp=sharing"",""1-12每月!$J13"")"),34154.0)</f>
        <v>34154</v>
      </c>
      <c r="V13" s="83">
        <f>IFERROR(__xludf.DUMMYFUNCTION("IMPORTRANGE(""https://docs.google.com/spreadsheets/d/1_eyuyKbXFCJd6fVFEKQwugwYCbRCmmWN_M7XR1dtOb8/edit#gid=951918895?usp=sharing"",""1-12每月!$J13"")"),25995.0)</f>
        <v>25995</v>
      </c>
      <c r="W13" s="83">
        <f>IFERROR(__xludf.DUMMYFUNCTION("IMPORTRANGE(""https://docs.google.com/spreadsheets/d/1yEpHI9_Y4w8sRmPP9C-mYK4NMfVuTJifGLMj4FMdqek/edit#gid=799087919?usp=sharing"",""1-12每月!$J13"")"),32270.0)</f>
        <v>32270</v>
      </c>
      <c r="X13" s="83">
        <f>IFERROR(__xludf.DUMMYFUNCTION("IMPORTRANGE(""https://docs.google.com/spreadsheets/d/1Vbyb9GlrY6jOwvoGyZFB96f7WXYjkT6gvTE37DPDXDI/edit#gid=9591526?usp=sharing"",""1-12每月!$J13"")"),41586.0)</f>
        <v>41586</v>
      </c>
      <c r="Y13" s="83">
        <f>IFERROR(__xludf.DUMMYFUNCTION("IMPORTRANGE(""https://docs.google.com/spreadsheets/d/1qeckoJwzWQAg8zQ80D-QJP4pnVYH6l2juaUyHtOu6y8/edit#gid=1905704096?usp=sharing"",""1-12每月!$J13"")"),33848.0)</f>
        <v>33848</v>
      </c>
      <c r="Z13" s="83">
        <f>IFERROR(__xludf.DUMMYFUNCTION("IMPORTRANGE(""https://docs.google.com/spreadsheets/d/1BcbIi7AD1VDpy_wMQ0YjCG-iuQy0_tkCVqr72a0Pwbg/edit#gid=1099513714?usp=sharing"",""1-12每月!$J13"")"),36674.0)</f>
        <v>36674</v>
      </c>
      <c r="AA13" s="83">
        <f>IFERROR(__xludf.DUMMYFUNCTION("IMPORTRANGE(""https://docs.google.com/spreadsheets/d/1cIFCQPaYiOmIt2O3vkEx5eto8sfRtx3JtAWJ1fv31HI/edit#gid=432689709?usp=sharing"",""1-12每月!$J13"")"),41382.0)</f>
        <v>41382</v>
      </c>
      <c r="AB13" s="83">
        <f>IFERROR(__xludf.DUMMYFUNCTION("IMPORTRANGE(""https://docs.google.com/spreadsheets/d/1C8ECYlbes2CJkHHGOAyOYVfrP7PdlGr8RMjK7KZd0_o/edit#gid=495469277?usp=sharing"",""1-12每月!$J13"")"),37804.0)</f>
        <v>37804</v>
      </c>
      <c r="AC13" s="83">
        <f>IFERROR(__xludf.DUMMYFUNCTION("IMPORTRANGE(""https://docs.google.com/spreadsheets/d/1ettcrhLPK6tkvHZxDTyU2bGIpGSi2ynG91ln0fqz9iE/edit#gid=1364213386?usp=sharing"",""1-12每月!$K13"")"),26137.0)</f>
        <v>26137</v>
      </c>
      <c r="AD13" s="83">
        <f>IFERROR(__xludf.DUMMYFUNCTION("IMPORTRANGE(""https://docs.google.com/spreadsheets/d/1xUhm-MtqzfUO8M5WEWVv9w2EFkv5_PHMOsAlA3CcCWU/edit#gid=1700470961?usp=sharing"",""1-12每月!$K13"")"),23473.0)</f>
        <v>23473</v>
      </c>
      <c r="AE13" s="83">
        <f>IFERROR(__xludf.DUMMYFUNCTION("IMPORTRANGE(""https://docs.google.com/spreadsheets/d/1DP8wl0QQLYSZ8R2aQ8wNmiAUXn7lVrqMsdTccpBmnQc/edit#gid=1145593933?usp=sharing"",""1-12每月!$K13"")"),29395.0)</f>
        <v>29395</v>
      </c>
      <c r="AF13" s="83">
        <f>IFERROR(__xludf.DUMMYFUNCTION("IMPORTRANGE(""https://docs.google.com/spreadsheets/d/17hbKAHrpKLEbG3r9s1Ay3fOGzvOBzSu3Bn_CD4JNLhY/edit#gid=756408948?usp=sharing"",""1-12每月!$K13"")"),39399.0)</f>
        <v>39399</v>
      </c>
      <c r="AG13" s="83">
        <f>IFERROR(__xludf.DUMMYFUNCTION("IMPORTRANGE(""https://docs.google.com/spreadsheets/d/1qeecSCKZ78ENQrsyUYpSNZqvo0-Y-uuGKFA1F06yLEM/edit#gid=874445072?usp=sharing"",""1-12每月!$K13"")"),50003.0)</f>
        <v>50003</v>
      </c>
      <c r="AH13" s="83">
        <f>IFERROR(__xludf.DUMMYFUNCTION("IMPORTRANGE(""https://docs.google.com/spreadsheets/d/1BSX0y1fIKw9-3VTr627UzGVjwKe74kwBkuFnvlaueNo/edit#gid=1113655470"",""1-12每月!$K13"")"),28112.0)</f>
        <v>28112</v>
      </c>
      <c r="AI13" s="83">
        <f>IFERROR(__xludf.DUMMYFUNCTION("IMPORTRANGE(""https://docs.google.com/spreadsheets/d/1bQzlrSGiVqBrfQ6FKnw67vhBELFgthonryGzmQabVFQ/edit#gid=1015697053"",""1-12每月!$K13"")"),69794.0)</f>
        <v>69794</v>
      </c>
      <c r="AJ13" s="83">
        <f>IFERROR(__xludf.DUMMYFUNCTION("IMPORTRANGE(""https://docs.google.com/spreadsheets/d/1Pem-mgCz4CF6EUKNVxDQx16g9jie0F5YNDQ_cPnMHYs"",""1-12每月!$K13"")"),36908.0)</f>
        <v>36908</v>
      </c>
      <c r="AK13" s="83">
        <f>IFERROR(__xludf.DUMMYFUNCTION("IMPORTRANGE(""https://docs.google.com/spreadsheets/d/1ZoRtUl0m9T3TpY8H-9-ntNBO_zrYrgNKuAe_XfTeFnU"",""1-12每月!$J13"")"),23270.0)</f>
        <v>23270</v>
      </c>
      <c r="AL13" s="83">
        <f>IFERROR(__xludf.DUMMYFUNCTION("IMPORTRANGE(""https://docs.google.com/spreadsheets/d/1Y9Uv46r1nA3ixCGwTWZqhGQWDt4KVX4iXmhJgHL5CGQ"",""1-12每月!$J13"")"),27711.0)</f>
        <v>27711</v>
      </c>
      <c r="AM13" s="83">
        <f>IFERROR(__xludf.DUMMYFUNCTION("IMPORTRANGE(""https://docs.google.com/spreadsheets/d/1E3X732-CKfouAVQOwKyrePWwI1Bwg9NHD0VD42lyiu4/edit?gid=1513765949#gid=1513765949"",""1-12每月!$J13"")"),0.0)</f>
        <v>0</v>
      </c>
      <c r="AN13" s="115"/>
      <c r="AO13" s="115"/>
      <c r="AP13" s="115"/>
      <c r="AQ13" s="115"/>
      <c r="AR13" s="108"/>
    </row>
    <row r="14" ht="15.75" customHeight="1">
      <c r="A14" s="85">
        <v>10.0</v>
      </c>
      <c r="B14" s="83"/>
      <c r="C14" s="83"/>
      <c r="D14" s="83"/>
      <c r="E14" s="83"/>
      <c r="F14" s="83"/>
      <c r="G14" s="83"/>
      <c r="H14" s="83"/>
      <c r="I14" s="83"/>
      <c r="J14" s="83"/>
      <c r="K14" s="83"/>
      <c r="L14" s="83"/>
      <c r="M14" s="83"/>
      <c r="N14" s="83"/>
      <c r="O14" s="83"/>
      <c r="P14" s="83">
        <f>IFERROR(__xludf.DUMMYFUNCTION("IMPORTRANGE(""https://docs.google.com/spreadsheets/d/1f4WWQfcNBonYqfzcaBhJlHzPwh34sx4U6naz-Aw2G4I/edit#gid=2097425894?usp=sharing"",""1-12每月!$K14"")"),112144.0)</f>
        <v>112144</v>
      </c>
      <c r="Q14" s="83">
        <f>IFERROR(__xludf.DUMMYFUNCTION("IMPORTRANGE(""https://docs.google.com/spreadsheets/d/1pCmmgCj7Y_SQPZLsiVd3yvND9oLyryVfBwNxC6OUwm8/edit#gid=170549058?usp=sharing"",""1-12每月!$K14"")"),65829.0)</f>
        <v>65829</v>
      </c>
      <c r="R14" s="83">
        <f>IFERROR(__xludf.DUMMYFUNCTION("IMPORTRANGE(""https://docs.google.com/spreadsheets/d/1hrRqxxacrLITR_JGMRVbhSRCIZIU8gAv0o_aOkHz68M/edit#gid=763155734?usp=sharing"",""1-12每月!$K14"")"),64773.0)</f>
        <v>64773</v>
      </c>
      <c r="S14" s="83">
        <f>IFERROR(__xludf.DUMMYFUNCTION("IMPORTRANGE(""https://docs.google.com/spreadsheets/d/1AKS3XWcgwNLFRbGU-lJ3UBHDQNdglvKwrv4_Bpp1IjU/edit#gid=73116376?usp=sharing"",""1-12每月!$J14"")"),62124.0)</f>
        <v>62124</v>
      </c>
      <c r="T14" s="83">
        <f>IFERROR(__xludf.DUMMYFUNCTION("IMPORTRANGE(""https://docs.google.com/spreadsheets/d/1wGGXGHkWT5JsjUDTy4FnHN_O9ae4MADbMykqIWVThNc/edit#gid=297806252?usp=sharing"",""1-12每月!$J14"")"),46114.0)</f>
        <v>46114</v>
      </c>
      <c r="U14" s="83">
        <f>IFERROR(__xludf.DUMMYFUNCTION("IMPORTRANGE(""https://docs.google.com/spreadsheets/d/1ShTgtQQDjMKpYx-TJ_lwdxnWSzJNUcNnzR3fJjoaZec/edit#gid=66107904?usp=sharing"",""1-12每月!$J14"")"),47763.0)</f>
        <v>47763</v>
      </c>
      <c r="V14" s="83">
        <f>IFERROR(__xludf.DUMMYFUNCTION("IMPORTRANGE(""https://docs.google.com/spreadsheets/d/1_eyuyKbXFCJd6fVFEKQwugwYCbRCmmWN_M7XR1dtOb8/edit#gid=951918895?usp=sharing"",""1-12每月!$J14"")"),27650.0)</f>
        <v>27650</v>
      </c>
      <c r="W14" s="83">
        <f>IFERROR(__xludf.DUMMYFUNCTION("IMPORTRANGE(""https://docs.google.com/spreadsheets/d/1yEpHI9_Y4w8sRmPP9C-mYK4NMfVuTJifGLMj4FMdqek/edit#gid=799087919?usp=sharing"",""1-12每月!$J14"")"),34544.0)</f>
        <v>34544</v>
      </c>
      <c r="X14" s="83">
        <f>IFERROR(__xludf.DUMMYFUNCTION("IMPORTRANGE(""https://docs.google.com/spreadsheets/d/1Vbyb9GlrY6jOwvoGyZFB96f7WXYjkT6gvTE37DPDXDI/edit#gid=9591526?usp=sharing"",""1-12每月!$J14"")"),40726.0)</f>
        <v>40726</v>
      </c>
      <c r="Y14" s="83">
        <f>IFERROR(__xludf.DUMMYFUNCTION("IMPORTRANGE(""https://docs.google.com/spreadsheets/d/1qeckoJwzWQAg8zQ80D-QJP4pnVYH6l2juaUyHtOu6y8/edit#gid=1905704096?usp=sharing"",""1-12每月!$J14"")"),38606.0)</f>
        <v>38606</v>
      </c>
      <c r="Z14" s="83">
        <f>IFERROR(__xludf.DUMMYFUNCTION("IMPORTRANGE(""https://docs.google.com/spreadsheets/d/1BcbIi7AD1VDpy_wMQ0YjCG-iuQy0_tkCVqr72a0Pwbg/edit#gid=1099513714?usp=sharing"",""1-12每月!$J14"")"),48210.0)</f>
        <v>48210</v>
      </c>
      <c r="AA14" s="83">
        <f>IFERROR(__xludf.DUMMYFUNCTION("IMPORTRANGE(""https://docs.google.com/spreadsheets/d/1cIFCQPaYiOmIt2O3vkEx5eto8sfRtx3JtAWJ1fv31HI/edit#gid=432689709?usp=sharing"",""1-12每月!$J14"")"),53523.0)</f>
        <v>53523</v>
      </c>
      <c r="AB14" s="83">
        <f>IFERROR(__xludf.DUMMYFUNCTION("IMPORTRANGE(""https://docs.google.com/spreadsheets/d/1C8ECYlbes2CJkHHGOAyOYVfrP7PdlGr8RMjK7KZd0_o/edit#gid=495469277?usp=sharing"",""1-12每月!$J14"")"),48576.0)</f>
        <v>48576</v>
      </c>
      <c r="AC14" s="83">
        <f>IFERROR(__xludf.DUMMYFUNCTION("IMPORTRANGE(""https://docs.google.com/spreadsheets/d/1ettcrhLPK6tkvHZxDTyU2bGIpGSi2ynG91ln0fqz9iE/edit#gid=1364213386?usp=sharing"",""1-12每月!$K14"")"),35265.0)</f>
        <v>35265</v>
      </c>
      <c r="AD14" s="83">
        <f>IFERROR(__xludf.DUMMYFUNCTION("IMPORTRANGE(""https://docs.google.com/spreadsheets/d/1xUhm-MtqzfUO8M5WEWVv9w2EFkv5_PHMOsAlA3CcCWU/edit#gid=1700470961?usp=sharing"",""1-12每月!$K14"")"),42674.0)</f>
        <v>42674</v>
      </c>
      <c r="AE14" s="83">
        <f>IFERROR(__xludf.DUMMYFUNCTION("IMPORTRANGE(""https://docs.google.com/spreadsheets/d/1DP8wl0QQLYSZ8R2aQ8wNmiAUXn7lVrqMsdTccpBmnQc/edit#gid=1145593933?usp=sharing"",""1-12每月!$K14"")"),27718.0)</f>
        <v>27718</v>
      </c>
      <c r="AF14" s="83">
        <f>IFERROR(__xludf.DUMMYFUNCTION("IMPORTRANGE(""https://docs.google.com/spreadsheets/d/17hbKAHrpKLEbG3r9s1Ay3fOGzvOBzSu3Bn_CD4JNLhY/edit#gid=756408948?usp=sharing"",""1-12每月!$K14"")"),48636.0)</f>
        <v>48636</v>
      </c>
      <c r="AG14" s="83">
        <f>IFERROR(__xludf.DUMMYFUNCTION("IMPORTRANGE(""https://docs.google.com/spreadsheets/d/1qeecSCKZ78ENQrsyUYpSNZqvo0-Y-uuGKFA1F06yLEM/edit#gid=874445072?usp=sharing"",""1-12每月!$K14"")"),67004.0)</f>
        <v>67004</v>
      </c>
      <c r="AH14" s="83">
        <f>IFERROR(__xludf.DUMMYFUNCTION("IMPORTRANGE(""https://docs.google.com/spreadsheets/d/1BSX0y1fIKw9-3VTr627UzGVjwKe74kwBkuFnvlaueNo/edit#gid=1113655470"",""1-12每月!$K14"")"),48217.0)</f>
        <v>48217</v>
      </c>
      <c r="AI14" s="83">
        <f>IFERROR(__xludf.DUMMYFUNCTION("IMPORTRANGE(""https://docs.google.com/spreadsheets/d/1bQzlrSGiVqBrfQ6FKnw67vhBELFgthonryGzmQabVFQ/edit#gid=1015697053"",""1-12每月!$K14"")"),54234.0)</f>
        <v>54234</v>
      </c>
      <c r="AJ14" s="83">
        <f>IFERROR(__xludf.DUMMYFUNCTION("IMPORTRANGE(""https://docs.google.com/spreadsheets/d/1Pem-mgCz4CF6EUKNVxDQx16g9jie0F5YNDQ_cPnMHYs"",""1-12每月!$K14"")"),54003.0)</f>
        <v>54003</v>
      </c>
      <c r="AK14" s="83">
        <f>IFERROR(__xludf.DUMMYFUNCTION("IMPORTRANGE(""https://docs.google.com/spreadsheets/d/1ZoRtUl0m9T3TpY8H-9-ntNBO_zrYrgNKuAe_XfTeFnU"",""1-12每月!$J14"")"),51504.0)</f>
        <v>51504</v>
      </c>
      <c r="AL14" s="83">
        <f>IFERROR(__xludf.DUMMYFUNCTION("IMPORTRANGE(""https://docs.google.com/spreadsheets/d/1Y9Uv46r1nA3ixCGwTWZqhGQWDt4KVX4iXmhJgHL5CGQ"",""1-12每月!$J14"")"),35508.0)</f>
        <v>35508</v>
      </c>
      <c r="AM14" s="83">
        <f>IFERROR(__xludf.DUMMYFUNCTION("IMPORTRANGE(""https://docs.google.com/spreadsheets/d/1E3X732-CKfouAVQOwKyrePWwI1Bwg9NHD0VD42lyiu4/edit?gid=1513765949#gid=1513765949"",""1-12每月!$J14"")"),0.0)</f>
        <v>0</v>
      </c>
      <c r="AN14" s="115"/>
      <c r="AO14" s="115"/>
      <c r="AP14" s="115"/>
      <c r="AQ14" s="115"/>
      <c r="AR14" s="108"/>
    </row>
    <row r="15" ht="15.75" customHeight="1">
      <c r="A15" s="85">
        <v>11.0</v>
      </c>
      <c r="B15" s="83"/>
      <c r="C15" s="83"/>
      <c r="D15" s="83"/>
      <c r="E15" s="83"/>
      <c r="F15" s="83"/>
      <c r="G15" s="83"/>
      <c r="H15" s="83"/>
      <c r="I15" s="83"/>
      <c r="J15" s="83"/>
      <c r="K15" s="83"/>
      <c r="L15" s="83"/>
      <c r="M15" s="83"/>
      <c r="N15" s="83"/>
      <c r="O15" s="83"/>
      <c r="P15" s="83">
        <f>IFERROR(__xludf.DUMMYFUNCTION("IMPORTRANGE(""https://docs.google.com/spreadsheets/d/1f4WWQfcNBonYqfzcaBhJlHzPwh34sx4U6naz-Aw2G4I/edit#gid=2097425894?usp=sharing"",""1-12每月!$K15"")"),69472.0)</f>
        <v>69472</v>
      </c>
      <c r="Q15" s="83">
        <f>IFERROR(__xludf.DUMMYFUNCTION("IMPORTRANGE(""https://docs.google.com/spreadsheets/d/1pCmmgCj7Y_SQPZLsiVd3yvND9oLyryVfBwNxC6OUwm8/edit#gid=170549058?usp=sharing"",""1-12每月!$K15"")"),54913.0)</f>
        <v>54913</v>
      </c>
      <c r="R15" s="83">
        <f>IFERROR(__xludf.DUMMYFUNCTION("IMPORTRANGE(""https://docs.google.com/spreadsheets/d/1hrRqxxacrLITR_JGMRVbhSRCIZIU8gAv0o_aOkHz68M/edit#gid=763155734?usp=sharing"",""1-12每月!$K15"")"),45047.0)</f>
        <v>45047</v>
      </c>
      <c r="S15" s="83">
        <f>IFERROR(__xludf.DUMMYFUNCTION("IMPORTRANGE(""https://docs.google.com/spreadsheets/d/1AKS3XWcgwNLFRbGU-lJ3UBHDQNdglvKwrv4_Bpp1IjU/edit#gid=73116376?usp=sharing"",""1-12每月!$J15"")"),40996.0)</f>
        <v>40996</v>
      </c>
      <c r="T15" s="83">
        <f>IFERROR(__xludf.DUMMYFUNCTION("IMPORTRANGE(""https://docs.google.com/spreadsheets/d/1wGGXGHkWT5JsjUDTy4FnHN_O9ae4MADbMykqIWVThNc/edit#gid=297806252?usp=sharing"",""1-12每月!$J15"")"),39413.0)</f>
        <v>39413</v>
      </c>
      <c r="U15" s="83">
        <f>IFERROR(__xludf.DUMMYFUNCTION("IMPORTRANGE(""https://docs.google.com/spreadsheets/d/1ShTgtQQDjMKpYx-TJ_lwdxnWSzJNUcNnzR3fJjoaZec/edit#gid=66107904?usp=sharing"",""1-12每月!$J15"")"),37668.0)</f>
        <v>37668</v>
      </c>
      <c r="V15" s="83">
        <f>IFERROR(__xludf.DUMMYFUNCTION("IMPORTRANGE(""https://docs.google.com/spreadsheets/d/1_eyuyKbXFCJd6fVFEKQwugwYCbRCmmWN_M7XR1dtOb8/edit#gid=951918895?usp=sharing"",""1-12每月!$J15"")"),28752.0)</f>
        <v>28752</v>
      </c>
      <c r="W15" s="83">
        <f>IFERROR(__xludf.DUMMYFUNCTION("IMPORTRANGE(""https://docs.google.com/spreadsheets/d/1yEpHI9_Y4w8sRmPP9C-mYK4NMfVuTJifGLMj4FMdqek/edit#gid=799087919?usp=sharing"",""1-12每月!$J15"")"),23513.0)</f>
        <v>23513</v>
      </c>
      <c r="X15" s="83">
        <f>IFERROR(__xludf.DUMMYFUNCTION("IMPORTRANGE(""https://docs.google.com/spreadsheets/d/1Vbyb9GlrY6jOwvoGyZFB96f7WXYjkT6gvTE37DPDXDI/edit#gid=9591526?usp=sharing"",""1-12每月!$J15"")"),25950.0)</f>
        <v>25950</v>
      </c>
      <c r="Y15" s="83">
        <f>IFERROR(__xludf.DUMMYFUNCTION("IMPORTRANGE(""https://docs.google.com/spreadsheets/d/1qeckoJwzWQAg8zQ80D-QJP4pnVYH6l2juaUyHtOu6y8/edit#gid=1905704096?usp=sharing"",""1-12每月!$J15"")"),31950.0)</f>
        <v>31950</v>
      </c>
      <c r="Z15" s="83">
        <f>IFERROR(__xludf.DUMMYFUNCTION("IMPORTRANGE(""https://docs.google.com/spreadsheets/d/1BcbIi7AD1VDpy_wMQ0YjCG-iuQy0_tkCVqr72a0Pwbg/edit#gid=1099513714?usp=sharing"",""1-12每月!$J15"")"),35710.0)</f>
        <v>35710</v>
      </c>
      <c r="AA15" s="83">
        <f>IFERROR(__xludf.DUMMYFUNCTION("IMPORTRANGE(""https://docs.google.com/spreadsheets/d/1cIFCQPaYiOmIt2O3vkEx5eto8sfRtx3JtAWJ1fv31HI/edit#gid=432689709?usp=sharing"",""1-12每月!$J15"")"),35785.0)</f>
        <v>35785</v>
      </c>
      <c r="AB15" s="83">
        <f>IFERROR(__xludf.DUMMYFUNCTION("IMPORTRANGE(""https://docs.google.com/spreadsheets/d/1C8ECYlbes2CJkHHGOAyOYVfrP7PdlGr8RMjK7KZd0_o/edit#gid=495469277?usp=sharing"",""1-12每月!$J15"")"),35636.0)</f>
        <v>35636</v>
      </c>
      <c r="AC15" s="83">
        <f>IFERROR(__xludf.DUMMYFUNCTION("IMPORTRANGE(""https://docs.google.com/spreadsheets/d/1ettcrhLPK6tkvHZxDTyU2bGIpGSi2ynG91ln0fqz9iE/edit#gid=1364213386?usp=sharing"",""1-12每月!$K15"")"),32535.0)</f>
        <v>32535</v>
      </c>
      <c r="AD15" s="83">
        <f>IFERROR(__xludf.DUMMYFUNCTION("IMPORTRANGE(""https://docs.google.com/spreadsheets/d/1xUhm-MtqzfUO8M5WEWVv9w2EFkv5_PHMOsAlA3CcCWU/edit#gid=1700470961?usp=sharing"",""1-12每月!$K15"")"),27011.0)</f>
        <v>27011</v>
      </c>
      <c r="AE15" s="83">
        <f>IFERROR(__xludf.DUMMYFUNCTION("IMPORTRANGE(""https://docs.google.com/spreadsheets/d/1DP8wl0QQLYSZ8R2aQ8wNmiAUXn7lVrqMsdTccpBmnQc/edit#gid=1145593933?usp=sharing"",""1-12每月!$K15"")"),21569.0)</f>
        <v>21569</v>
      </c>
      <c r="AF15" s="83">
        <f>IFERROR(__xludf.DUMMYFUNCTION("IMPORTRANGE(""https://docs.google.com/spreadsheets/d/17hbKAHrpKLEbG3r9s1Ay3fOGzvOBzSu3Bn_CD4JNLhY/edit#gid=756408948?usp=sharing"",""1-12每月!$K15"")"),33548.0)</f>
        <v>33548</v>
      </c>
      <c r="AG15" s="83">
        <f>IFERROR(__xludf.DUMMYFUNCTION("IMPORTRANGE(""https://docs.google.com/spreadsheets/d/1qeecSCKZ78ENQrsyUYpSNZqvo0-Y-uuGKFA1F06yLEM/edit#gid=874445072?usp=sharing"",""1-12每月!$K15"")"),38282.0)</f>
        <v>38282</v>
      </c>
      <c r="AH15" s="83">
        <f>IFERROR(__xludf.DUMMYFUNCTION("IMPORTRANGE(""https://docs.google.com/spreadsheets/d/1BSX0y1fIKw9-3VTr627UzGVjwKe74kwBkuFnvlaueNo/edit#gid=1113655470"",""1-12每月!$K15"")"),52509.0)</f>
        <v>52509</v>
      </c>
      <c r="AI15" s="83">
        <f>IFERROR(__xludf.DUMMYFUNCTION("IMPORTRANGE(""https://docs.google.com/spreadsheets/d/1bQzlrSGiVqBrfQ6FKnw67vhBELFgthonryGzmQabVFQ/edit#gid=1015697053"",""1-12每月!$K15"")"),38261.0)</f>
        <v>38261</v>
      </c>
      <c r="AJ15" s="83">
        <f>IFERROR(__xludf.DUMMYFUNCTION("IMPORTRANGE(""https://docs.google.com/spreadsheets/d/1Pem-mgCz4CF6EUKNVxDQx16g9jie0F5YNDQ_cPnMHYs"",""1-12每月!$K15"")"),42810.0)</f>
        <v>42810</v>
      </c>
      <c r="AK15" s="83">
        <f>IFERROR(__xludf.DUMMYFUNCTION("IMPORTRANGE(""https://docs.google.com/spreadsheets/d/1ZoRtUl0m9T3TpY8H-9-ntNBO_zrYrgNKuAe_XfTeFnU"",""1-12每月!$J15"")"),87348.0)</f>
        <v>87348</v>
      </c>
      <c r="AL15" s="83">
        <f>IFERROR(__xludf.DUMMYFUNCTION("IMPORTRANGE(""https://docs.google.com/spreadsheets/d/1Y9Uv46r1nA3ixCGwTWZqhGQWDt4KVX4iXmhJgHL5CGQ"",""1-12每月!$J15"")"),20137.0)</f>
        <v>20137</v>
      </c>
      <c r="AM15" s="83">
        <f>IFERROR(__xludf.DUMMYFUNCTION("IMPORTRANGE(""https://docs.google.com/spreadsheets/d/1E3X732-CKfouAVQOwKyrePWwI1Bwg9NHD0VD42lyiu4/edit?gid=1513765949#gid=1513765949"",""1-12每月!$J15"")"),0.0)</f>
        <v>0</v>
      </c>
      <c r="AN15" s="115"/>
      <c r="AO15" s="115"/>
      <c r="AP15" s="115"/>
      <c r="AQ15" s="115"/>
      <c r="AR15" s="108"/>
    </row>
    <row r="16" ht="15.75" customHeight="1">
      <c r="A16" s="85">
        <v>12.0</v>
      </c>
      <c r="B16" s="83"/>
      <c r="C16" s="83"/>
      <c r="D16" s="83"/>
      <c r="E16" s="83"/>
      <c r="F16" s="83"/>
      <c r="G16" s="83"/>
      <c r="H16" s="83"/>
      <c r="I16" s="83"/>
      <c r="J16" s="83"/>
      <c r="K16" s="83"/>
      <c r="L16" s="83"/>
      <c r="M16" s="83"/>
      <c r="N16" s="83"/>
      <c r="O16" s="83"/>
      <c r="P16" s="83">
        <f>IFERROR(__xludf.DUMMYFUNCTION("IMPORTRANGE(""https://docs.google.com/spreadsheets/d/1f4WWQfcNBonYqfzcaBhJlHzPwh34sx4U6naz-Aw2G4I/edit#gid=2097425894?usp=sharing"",""1-12每月!$K16"")"),53536.0)</f>
        <v>53536</v>
      </c>
      <c r="Q16" s="83">
        <f>IFERROR(__xludf.DUMMYFUNCTION("IMPORTRANGE(""https://docs.google.com/spreadsheets/d/1pCmmgCj7Y_SQPZLsiVd3yvND9oLyryVfBwNxC6OUwm8/edit#gid=170549058?usp=sharing"",""1-12每月!$K16"")"),49115.0)</f>
        <v>49115</v>
      </c>
      <c r="R16" s="83">
        <f>IFERROR(__xludf.DUMMYFUNCTION("IMPORTRANGE(""https://docs.google.com/spreadsheets/d/1hrRqxxacrLITR_JGMRVbhSRCIZIU8gAv0o_aOkHz68M/edit#gid=763155734?usp=sharing"",""1-12每月!$K16"")"),38254.0)</f>
        <v>38254</v>
      </c>
      <c r="S16" s="83">
        <f>IFERROR(__xludf.DUMMYFUNCTION("IMPORTRANGE(""https://docs.google.com/spreadsheets/d/1AKS3XWcgwNLFRbGU-lJ3UBHDQNdglvKwrv4_Bpp1IjU/edit#gid=73116376?usp=sharing"",""1-12每月!$J16"")"),33797.0)</f>
        <v>33797</v>
      </c>
      <c r="T16" s="83">
        <f>IFERROR(__xludf.DUMMYFUNCTION("IMPORTRANGE(""https://docs.google.com/spreadsheets/d/1wGGXGHkWT5JsjUDTy4FnHN_O9ae4MADbMykqIWVThNc/edit#gid=297806252?usp=sharing"",""1-12每月!$J16"")"),37664.0)</f>
        <v>37664</v>
      </c>
      <c r="U16" s="83">
        <f>IFERROR(__xludf.DUMMYFUNCTION("IMPORTRANGE(""https://docs.google.com/spreadsheets/d/1ShTgtQQDjMKpYx-TJ_lwdxnWSzJNUcNnzR3fJjoaZec/edit#gid=66107904?usp=sharing"",""1-12每月!$J16"")"),30027.0)</f>
        <v>30027</v>
      </c>
      <c r="V16" s="83">
        <f>IFERROR(__xludf.DUMMYFUNCTION("IMPORTRANGE(""https://docs.google.com/spreadsheets/d/1_eyuyKbXFCJd6fVFEKQwugwYCbRCmmWN_M7XR1dtOb8/edit#gid=951918895?usp=sharing"",""1-12每月!$J16"")"),32252.0)</f>
        <v>32252</v>
      </c>
      <c r="W16" s="83">
        <f>IFERROR(__xludf.DUMMYFUNCTION("IMPORTRANGE(""https://docs.google.com/spreadsheets/d/1yEpHI9_Y4w8sRmPP9C-mYK4NMfVuTJifGLMj4FMdqek/edit#gid=799087919?usp=sharing"",""1-12每月!$J16"")"),25571.0)</f>
        <v>25571</v>
      </c>
      <c r="X16" s="83">
        <f>IFERROR(__xludf.DUMMYFUNCTION("IMPORTRANGE(""https://docs.google.com/spreadsheets/d/1Vbyb9GlrY6jOwvoGyZFB96f7WXYjkT6gvTE37DPDXDI/edit#gid=9591526?usp=sharing"",""1-12每月!$J16"")"),27587.0)</f>
        <v>27587</v>
      </c>
      <c r="Y16" s="83">
        <f>IFERROR(__xludf.DUMMYFUNCTION("IMPORTRANGE(""https://docs.google.com/spreadsheets/d/1qeckoJwzWQAg8zQ80D-QJP4pnVYH6l2juaUyHtOu6y8/edit#gid=1905704096?usp=sharing"",""1-12每月!$J16"")"),31455.0)</f>
        <v>31455</v>
      </c>
      <c r="Z16" s="83">
        <f>IFERROR(__xludf.DUMMYFUNCTION("IMPORTRANGE(""https://docs.google.com/spreadsheets/d/1BcbIi7AD1VDpy_wMQ0YjCG-iuQy0_tkCVqr72a0Pwbg/edit#gid=1099513714?usp=sharing"",""1-12每月!$J16"")"),25586.0)</f>
        <v>25586</v>
      </c>
      <c r="AA16" s="83">
        <f>IFERROR(__xludf.DUMMYFUNCTION("IMPORTRANGE(""https://docs.google.com/spreadsheets/d/1cIFCQPaYiOmIt2O3vkEx5eto8sfRtx3JtAWJ1fv31HI/edit#gid=432689709?usp=sharing"",""1-12每月!$J16"")"),30240.0)</f>
        <v>30240</v>
      </c>
      <c r="AB16" s="83">
        <f>IFERROR(__xludf.DUMMYFUNCTION("IMPORTRANGE(""https://docs.google.com/spreadsheets/d/1C8ECYlbes2CJkHHGOAyOYVfrP7PdlGr8RMjK7KZd0_o/edit#gid=495469277?usp=sharing"",""1-12每月!$J16"")"),30407.0)</f>
        <v>30407</v>
      </c>
      <c r="AC16" s="83">
        <f>IFERROR(__xludf.DUMMYFUNCTION("IMPORTRANGE(""https://docs.google.com/spreadsheets/d/1ettcrhLPK6tkvHZxDTyU2bGIpGSi2ynG91ln0fqz9iE/edit#gid=1364213386?usp=sharing"",""1-12每月!$K16"")"),32329.0)</f>
        <v>32329</v>
      </c>
      <c r="AD16" s="83">
        <f>IFERROR(__xludf.DUMMYFUNCTION("IMPORTRANGE(""https://docs.google.com/spreadsheets/d/1xUhm-MtqzfUO8M5WEWVv9w2EFkv5_PHMOsAlA3CcCWU/edit#gid=1700470961?usp=sharing"",""1-12每月!$K16"")"),36353.0)</f>
        <v>36353</v>
      </c>
      <c r="AE16" s="83">
        <f>IFERROR(__xludf.DUMMYFUNCTION("IMPORTRANGE(""https://docs.google.com/spreadsheets/d/1DP8wl0QQLYSZ8R2aQ8wNmiAUXn7lVrqMsdTccpBmnQc/edit#gid=1145593933?usp=sharing"",""1-12每月!$K16"")"),39446.0)</f>
        <v>39446</v>
      </c>
      <c r="AF16" s="83">
        <f>IFERROR(__xludf.DUMMYFUNCTION("IMPORTRANGE(""https://docs.google.com/spreadsheets/d/17hbKAHrpKLEbG3r9s1Ay3fOGzvOBzSu3Bn_CD4JNLhY/edit#gid=756408948?usp=sharing"",""1-12每月!$K16"")"),31480.0)</f>
        <v>31480</v>
      </c>
      <c r="AG16" s="83">
        <f>IFERROR(__xludf.DUMMYFUNCTION("IMPORTRANGE(""https://docs.google.com/spreadsheets/d/1qeecSCKZ78ENQrsyUYpSNZqvo0-Y-uuGKFA1F06yLEM/edit#gid=874445072?usp=sharing"",""1-12每月!$K16"")"),34101.0)</f>
        <v>34101</v>
      </c>
      <c r="AH16" s="83">
        <f>IFERROR(__xludf.DUMMYFUNCTION("IMPORTRANGE(""https://docs.google.com/spreadsheets/d/1BSX0y1fIKw9-3VTr627UzGVjwKe74kwBkuFnvlaueNo/edit#gid=1113655470"",""1-12每月!$K16"")"),44719.0)</f>
        <v>44719</v>
      </c>
      <c r="AI16" s="83">
        <f>IFERROR(__xludf.DUMMYFUNCTION("IMPORTRANGE(""https://docs.google.com/spreadsheets/d/1bQzlrSGiVqBrfQ6FKnw67vhBELFgthonryGzmQabVFQ/edit#gid=1015697053"",""1-12每月!$K16"")"),53714.0)</f>
        <v>53714</v>
      </c>
      <c r="AJ16" s="83">
        <f>IFERROR(__xludf.DUMMYFUNCTION("IMPORTRANGE(""https://docs.google.com/spreadsheets/d/1Pem-mgCz4CF6EUKNVxDQx16g9jie0F5YNDQ_cPnMHYs"",""1-12每月!$K16"")"),48133.0)</f>
        <v>48133</v>
      </c>
      <c r="AK16" s="83">
        <f>IFERROR(__xludf.DUMMYFUNCTION("IMPORTRANGE(""https://docs.google.com/spreadsheets/d/1ZoRtUl0m9T3TpY8H-9-ntNBO_zrYrgNKuAe_XfTeFnU"",""1-12每月!$J16"")"),34190.0)</f>
        <v>34190</v>
      </c>
      <c r="AL16" s="83">
        <f>IFERROR(__xludf.DUMMYFUNCTION("IMPORTRANGE(""https://docs.google.com/spreadsheets/d/1Y9Uv46r1nA3ixCGwTWZqhGQWDt4KVX4iXmhJgHL5CGQ"",""1-12每月!$J16"")"),25862.0)</f>
        <v>25862</v>
      </c>
      <c r="AM16" s="83">
        <f>IFERROR(__xludf.DUMMYFUNCTION("IMPORTRANGE(""https://docs.google.com/spreadsheets/d/1E3X732-CKfouAVQOwKyrePWwI1Bwg9NHD0VD42lyiu4/edit?gid=1513765949#gid=1513765949"",""1-12每月!$J16"")"),0.0)</f>
        <v>0</v>
      </c>
      <c r="AN16" s="115"/>
      <c r="AO16" s="115"/>
      <c r="AP16" s="115"/>
      <c r="AQ16" s="115"/>
      <c r="AR16" s="108"/>
    </row>
    <row r="17" ht="15.75" customHeight="1">
      <c r="A17" s="86" t="s">
        <v>45</v>
      </c>
      <c r="B17" s="87"/>
      <c r="C17" s="87"/>
      <c r="D17" s="87"/>
      <c r="E17" s="87"/>
      <c r="F17" s="87"/>
      <c r="G17" s="87"/>
      <c r="H17" s="87"/>
      <c r="I17" s="87"/>
      <c r="J17" s="87"/>
      <c r="K17" s="87"/>
      <c r="L17" s="87"/>
      <c r="M17" s="87"/>
      <c r="N17" s="87"/>
      <c r="O17" s="87"/>
      <c r="P17" s="87">
        <f t="shared" ref="P17:AR17" si="1">SUM(P5:P16)</f>
        <v>1256567</v>
      </c>
      <c r="Q17" s="87">
        <f t="shared" si="1"/>
        <v>907353</v>
      </c>
      <c r="R17" s="87">
        <f t="shared" si="1"/>
        <v>819191</v>
      </c>
      <c r="S17" s="87">
        <f t="shared" si="1"/>
        <v>743810</v>
      </c>
      <c r="T17" s="87">
        <f t="shared" si="1"/>
        <v>674953</v>
      </c>
      <c r="U17" s="87">
        <f t="shared" si="1"/>
        <v>622352</v>
      </c>
      <c r="V17" s="87">
        <f t="shared" si="1"/>
        <v>515754</v>
      </c>
      <c r="W17" s="87">
        <f t="shared" si="1"/>
        <v>529580</v>
      </c>
      <c r="X17" s="87">
        <f t="shared" si="1"/>
        <v>497243</v>
      </c>
      <c r="Y17" s="87">
        <f t="shared" si="1"/>
        <v>488346</v>
      </c>
      <c r="Z17" s="87">
        <f t="shared" si="1"/>
        <v>535166</v>
      </c>
      <c r="AA17" s="87">
        <f t="shared" si="1"/>
        <v>613674</v>
      </c>
      <c r="AB17" s="87">
        <f t="shared" si="1"/>
        <v>577255</v>
      </c>
      <c r="AC17" s="87">
        <f t="shared" si="1"/>
        <v>538791</v>
      </c>
      <c r="AD17" s="87">
        <f t="shared" si="1"/>
        <v>496365</v>
      </c>
      <c r="AE17" s="87">
        <f t="shared" si="1"/>
        <v>434543</v>
      </c>
      <c r="AF17" s="87">
        <f t="shared" si="1"/>
        <v>517936</v>
      </c>
      <c r="AG17" s="87">
        <f t="shared" si="1"/>
        <v>752465</v>
      </c>
      <c r="AH17" s="87">
        <f t="shared" si="1"/>
        <v>411992</v>
      </c>
      <c r="AI17" s="87">
        <f t="shared" si="1"/>
        <v>760096</v>
      </c>
      <c r="AJ17" s="87">
        <f t="shared" si="1"/>
        <v>715942</v>
      </c>
      <c r="AK17" s="87">
        <f t="shared" si="1"/>
        <v>432011</v>
      </c>
      <c r="AL17" s="87">
        <f t="shared" si="1"/>
        <v>448592</v>
      </c>
      <c r="AM17" s="87">
        <f t="shared" si="1"/>
        <v>204823</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c r="O18" s="90"/>
      <c r="P18" s="90"/>
      <c r="Q18" s="90">
        <f t="shared" ref="Q18:AC18" si="2">(Q17-P17)/P17</f>
        <v>-0.2779111659</v>
      </c>
      <c r="R18" s="90">
        <f t="shared" si="2"/>
        <v>-0.09716394832</v>
      </c>
      <c r="S18" s="90">
        <f t="shared" si="2"/>
        <v>-0.09201883321</v>
      </c>
      <c r="T18" s="90">
        <f t="shared" si="2"/>
        <v>-0.09257337223</v>
      </c>
      <c r="U18" s="90">
        <f t="shared" si="2"/>
        <v>-0.07793283384</v>
      </c>
      <c r="V18" s="90">
        <f t="shared" si="2"/>
        <v>-0.1712824897</v>
      </c>
      <c r="W18" s="90">
        <f t="shared" si="2"/>
        <v>0.02680735389</v>
      </c>
      <c r="X18" s="90">
        <f t="shared" si="2"/>
        <v>-0.06106159598</v>
      </c>
      <c r="Y18" s="90">
        <f t="shared" si="2"/>
        <v>-0.01789266013</v>
      </c>
      <c r="Z18" s="90">
        <f t="shared" si="2"/>
        <v>0.09587464625</v>
      </c>
      <c r="AA18" s="90">
        <f t="shared" si="2"/>
        <v>0.1466984076</v>
      </c>
      <c r="AB18" s="90">
        <f t="shared" si="2"/>
        <v>-0.0593458416</v>
      </c>
      <c r="AC18" s="90">
        <f t="shared" si="2"/>
        <v>-0.06663259738</v>
      </c>
      <c r="AD18" s="90">
        <f t="shared" ref="AD18:AR18" si="3">IF(AC17=0,0,(AD17-AC17)/AC17)</f>
        <v>-0.07874296341</v>
      </c>
      <c r="AE18" s="90">
        <f t="shared" si="3"/>
        <v>-0.1245494747</v>
      </c>
      <c r="AF18" s="90">
        <f t="shared" si="3"/>
        <v>0.1919096614</v>
      </c>
      <c r="AG18" s="90">
        <f t="shared" si="3"/>
        <v>0.4528146335</v>
      </c>
      <c r="AH18" s="90">
        <f t="shared" si="3"/>
        <v>-0.4524768594</v>
      </c>
      <c r="AI18" s="90">
        <f t="shared" si="3"/>
        <v>0.8449290277</v>
      </c>
      <c r="AJ18" s="90">
        <f t="shared" si="3"/>
        <v>-0.05809003073</v>
      </c>
      <c r="AK18" s="90">
        <f t="shared" si="3"/>
        <v>-0.3965838015</v>
      </c>
      <c r="AL18" s="90">
        <f t="shared" si="3"/>
        <v>0.03838096715</v>
      </c>
      <c r="AM18" s="90">
        <f t="shared" si="3"/>
        <v>-0.5434091558</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110" t="s">
        <v>158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t="s">
        <v>102</v>
      </c>
      <c r="AD20" s="92">
        <f t="shared" ref="AD20:AE20" si="4">SUM(AD$5:AD$6)</f>
        <v>98337</v>
      </c>
      <c r="AE20" s="92">
        <f t="shared" si="4"/>
        <v>44201</v>
      </c>
      <c r="AF20" s="77"/>
      <c r="AG20" s="77"/>
      <c r="AH20" s="77"/>
      <c r="AI20" s="77"/>
      <c r="AJ20" s="77"/>
      <c r="AK20" s="77"/>
      <c r="AL20" s="77"/>
      <c r="AM20" s="77"/>
      <c r="AN20" s="77"/>
      <c r="AO20" s="77"/>
      <c r="AP20" s="77"/>
      <c r="AQ20" s="77"/>
      <c r="AR20" s="77"/>
    </row>
    <row r="21" ht="15.75" customHeight="1">
      <c r="A21" s="110" t="s">
        <v>159</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t="s">
        <v>104</v>
      </c>
      <c r="AD21" s="92">
        <f t="shared" ref="AD21:AE21" si="5">SUM(AD$7:AD$11)</f>
        <v>196638</v>
      </c>
      <c r="AE21" s="92">
        <f t="shared" si="5"/>
        <v>202872</v>
      </c>
      <c r="AF21" s="77"/>
      <c r="AG21" s="77"/>
      <c r="AH21" s="77"/>
      <c r="AI21" s="77"/>
      <c r="AJ21" s="77"/>
      <c r="AK21" s="77"/>
      <c r="AL21" s="77"/>
      <c r="AM21" s="77"/>
      <c r="AN21" s="77"/>
      <c r="AO21" s="77"/>
      <c r="AP21" s="77"/>
      <c r="AQ21" s="77"/>
      <c r="AR21" s="77"/>
    </row>
    <row r="22" ht="15.75" customHeight="1">
      <c r="A22" s="77" t="s">
        <v>105</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77" t="s">
        <v>105</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4" width="3.67"/>
    <col customWidth="1" hidden="1" min="5" max="23" width="3.67"/>
    <col customWidth="1" hidden="1" min="24" max="28" width="4.78"/>
    <col customWidth="1" hidden="1" min="29" max="29" width="5.0"/>
    <col customWidth="1" hidden="1" min="30" max="32" width="4.78"/>
    <col customWidth="1" hidden="1" min="33" max="33" width="9.11"/>
    <col customWidth="1" min="34" max="44" width="9.11"/>
  </cols>
  <sheetData>
    <row r="1" ht="15.75" customHeight="1">
      <c r="A1" s="113" t="s">
        <v>160</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161</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f>IFERROR(__xludf.DUMMYFUNCTION("IMPORTRANGE(""https://docs.google.com/spreadsheets/d/1qeecSCKZ78ENQrsyUYpSNZqvo0-Y-uuGKFA1F06yLEM/edit#gid=874445072"",""1-12每月!$L5"")"),39455.0)</f>
        <v>39455</v>
      </c>
      <c r="AH5" s="83">
        <f>IFERROR(__xludf.DUMMYFUNCTION("IMPORTRANGE(""https://docs.google.com/spreadsheets/d/1BSX0y1fIKw9-3VTr627UzGVjwKe74kwBkuFnvlaueNo/edit#gid=1113655470"",""1-12每月!$L5"")"),14914.0)</f>
        <v>14914</v>
      </c>
      <c r="AI5" s="83">
        <f>IFERROR(__xludf.DUMMYFUNCTION("IMPORTRANGE(""https://docs.google.com/spreadsheets/d/1bQzlrSGiVqBrfQ6FKnw67vhBELFgthonryGzmQabVFQ/edit#gid=1015697053"",""1-12每月!$L5"")"),12599.0)</f>
        <v>12599</v>
      </c>
      <c r="AJ5" s="83">
        <f>IFERROR(__xludf.DUMMYFUNCTION("IMPORTRANGE(""https://docs.google.com/spreadsheets/d/1Pem-mgCz4CF6EUKNVxDQx16g9jie0F5YNDQ_cPnMHYs"",""1-12每月!$L5"")"),14670.0)</f>
        <v>14670</v>
      </c>
      <c r="AK5" s="83">
        <f>IFERROR(__xludf.DUMMYFUNCTION("IMPORTRANGE(""https://docs.google.com/spreadsheets/d/1ZoRtUl0m9T3TpY8H-9-ntNBO_zrYrgNKuAe_XfTeFnU"",""1-12每月!$K5"")"),12792.0)</f>
        <v>12792</v>
      </c>
      <c r="AL5" s="83">
        <f>IFERROR(__xludf.DUMMYFUNCTION("IMPORTRANGE(""https://docs.google.com/spreadsheets/d/1Y9Uv46r1nA3ixCGwTWZqhGQWDt4KVX4iXmhJgHL5CGQ"",""1-12每月!$K5"")"),10326.0)</f>
        <v>10326</v>
      </c>
      <c r="AM5" s="83">
        <f>IFERROR(__xludf.DUMMYFUNCTION("IMPORTRANGE(""https://docs.google.com/spreadsheets/d/1E3X732-CKfouAVQOwKyrePWwI1Bwg9NHD0VD42lyiu4/edit?gid=1513765949#gid=1513765949"",""1-12每月!$K5"")"),9602.0)</f>
        <v>9602</v>
      </c>
      <c r="AN5" s="114"/>
      <c r="AO5" s="114"/>
      <c r="AP5" s="114"/>
      <c r="AQ5" s="114"/>
      <c r="AR5" s="84"/>
    </row>
    <row r="6" ht="15.75" customHeight="1">
      <c r="A6" s="85">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f>IFERROR(__xludf.DUMMYFUNCTION("IMPORTRANGE(""https://docs.google.com/spreadsheets/d/1qeecSCKZ78ENQrsyUYpSNZqvo0-Y-uuGKFA1F06yLEM/edit#gid=874445072?usp=sharing"",""1-12每月!$L6"")"),38949.0)</f>
        <v>38949</v>
      </c>
      <c r="AH6" s="83">
        <f>IFERROR(__xludf.DUMMYFUNCTION("IMPORTRANGE(""https://docs.google.com/spreadsheets/d/1BSX0y1fIKw9-3VTr627UzGVjwKe74kwBkuFnvlaueNo/edit#gid=1113655470"",""1-12每月!$L6"")"),43050.0)</f>
        <v>43050</v>
      </c>
      <c r="AI6" s="83">
        <f>IFERROR(__xludf.DUMMYFUNCTION("IMPORTRANGE(""https://docs.google.com/spreadsheets/d/1bQzlrSGiVqBrfQ6FKnw67vhBELFgthonryGzmQabVFQ/edit#gid=1015697053"",""1-12每月!$L6"")"),20559.0)</f>
        <v>20559</v>
      </c>
      <c r="AJ6" s="83">
        <f>IFERROR(__xludf.DUMMYFUNCTION("IMPORTRANGE(""https://docs.google.com/spreadsheets/d/1Pem-mgCz4CF6EUKNVxDQx16g9jie0F5YNDQ_cPnMHYs"",""1-12每月!$L6"")"),11025.0)</f>
        <v>11025</v>
      </c>
      <c r="AK6" s="83">
        <f>IFERROR(__xludf.DUMMYFUNCTION("IMPORTRANGE(""https://docs.google.com/spreadsheets/d/1ZoRtUl0m9T3TpY8H-9-ntNBO_zrYrgNKuAe_XfTeFnU"",""1-12每月!$K6"")"),19139.0)</f>
        <v>19139</v>
      </c>
      <c r="AL6" s="83">
        <f>IFERROR(__xludf.DUMMYFUNCTION("IMPORTRANGE(""https://docs.google.com/spreadsheets/d/1Y9Uv46r1nA3ixCGwTWZqhGQWDt4KVX4iXmhJgHL5CGQ"",""1-12每月!$K6"")"),7669.0)</f>
        <v>7669</v>
      </c>
      <c r="AM6" s="83">
        <f>IFERROR(__xludf.DUMMYFUNCTION("IMPORTRANGE(""https://docs.google.com/spreadsheets/d/1E3X732-CKfouAVQOwKyrePWwI1Bwg9NHD0VD42lyiu4/edit?gid=1513765949#gid=1513765949"",""1-12每月!$K6"")"),11653.0)</f>
        <v>11653</v>
      </c>
      <c r="AN6" s="114"/>
      <c r="AO6" s="114"/>
      <c r="AP6" s="114"/>
      <c r="AQ6" s="114"/>
      <c r="AR6" s="84"/>
    </row>
    <row r="7" ht="15.75" customHeight="1">
      <c r="A7" s="85">
        <v>3.0</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f>IFERROR(__xludf.DUMMYFUNCTION("IMPORTRANGE(""https://docs.google.com/spreadsheets/d/1qeecSCKZ78ENQrsyUYpSNZqvo0-Y-uuGKFA1F06yLEM/edit#gid=874445072?usp=sharing"",""1-12每月!$L7"")"),18112.0)</f>
        <v>18112</v>
      </c>
      <c r="AH7" s="83">
        <f>IFERROR(__xludf.DUMMYFUNCTION("IMPORTRANGE(""https://docs.google.com/spreadsheets/d/1BSX0y1fIKw9-3VTr627UzGVjwKe74kwBkuFnvlaueNo/edit#gid=1113655470"",""1-12每月!$L7"")"),24750.0)</f>
        <v>24750</v>
      </c>
      <c r="AI7" s="83">
        <f>IFERROR(__xludf.DUMMYFUNCTION("IMPORTRANGE(""https://docs.google.com/spreadsheets/d/1bQzlrSGiVqBrfQ6FKnw67vhBELFgthonryGzmQabVFQ/edit#gid=1015697053"",""1-12每月!$L7"")"),13604.0)</f>
        <v>13604</v>
      </c>
      <c r="AJ7" s="83">
        <f>IFERROR(__xludf.DUMMYFUNCTION("IMPORTRANGE(""https://docs.google.com/spreadsheets/d/1Pem-mgCz4CF6EUKNVxDQx16g9jie0F5YNDQ_cPnMHYs"",""1-12每月!$L7"")"),8572.0)</f>
        <v>8572</v>
      </c>
      <c r="AK7" s="83">
        <f>IFERROR(__xludf.DUMMYFUNCTION("IMPORTRANGE(""https://docs.google.com/spreadsheets/d/1ZoRtUl0m9T3TpY8H-9-ntNBO_zrYrgNKuAe_XfTeFnU"",""1-12每月!$K7"")"),12596.0)</f>
        <v>12596</v>
      </c>
      <c r="AL7" s="83">
        <f>IFERROR(__xludf.DUMMYFUNCTION("IMPORTRANGE(""https://docs.google.com/spreadsheets/d/1Y9Uv46r1nA3ixCGwTWZqhGQWDt4KVX4iXmhJgHL5CGQ"",""1-12每月!$K7"")"),12323.0)</f>
        <v>12323</v>
      </c>
      <c r="AM7" s="83">
        <f>IFERROR(__xludf.DUMMYFUNCTION("IMPORTRANGE(""https://docs.google.com/spreadsheets/d/1E3X732-CKfouAVQOwKyrePWwI1Bwg9NHD0VD42lyiu4/edit?gid=1513765949#gid=1513765949"",""1-12每月!$K7"")"),10880.0)</f>
        <v>10880</v>
      </c>
      <c r="AN7" s="114"/>
      <c r="AO7" s="114"/>
      <c r="AP7" s="114"/>
      <c r="AQ7" s="114"/>
      <c r="AR7" s="84"/>
    </row>
    <row r="8" ht="15.75" customHeight="1">
      <c r="A8" s="85">
        <v>4.0</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f>IFERROR(__xludf.DUMMYFUNCTION("IMPORTRANGE(""https://docs.google.com/spreadsheets/d/1qeecSCKZ78ENQrsyUYpSNZqvo0-Y-uuGKFA1F06yLEM/edit#gid=874445072?usp=sharing"",""1-12每月!$L8"")"),21927.0)</f>
        <v>21927</v>
      </c>
      <c r="AH8" s="83">
        <f>IFERROR(__xludf.DUMMYFUNCTION("IMPORTRANGE(""https://docs.google.com/spreadsheets/d/1BSX0y1fIKw9-3VTr627UzGVjwKe74kwBkuFnvlaueNo/edit#gid=1113655470"",""1-12每月!$L8"")"),27350.0)</f>
        <v>27350</v>
      </c>
      <c r="AI8" s="83">
        <f>IFERROR(__xludf.DUMMYFUNCTION("IMPORTRANGE(""https://docs.google.com/spreadsheets/d/1bQzlrSGiVqBrfQ6FKnw67vhBELFgthonryGzmQabVFQ/edit#gid=1015697053"",""1-12每月!$L8"")"),12537.0)</f>
        <v>12537</v>
      </c>
      <c r="AJ8" s="83">
        <f>IFERROR(__xludf.DUMMYFUNCTION("IMPORTRANGE(""https://docs.google.com/spreadsheets/d/1Pem-mgCz4CF6EUKNVxDQx16g9jie0F5YNDQ_cPnMHYs"",""1-12每月!$L8"")"),14222.0)</f>
        <v>14222</v>
      </c>
      <c r="AK8" s="83">
        <f>IFERROR(__xludf.DUMMYFUNCTION("IMPORTRANGE(""https://docs.google.com/spreadsheets/d/1ZoRtUl0m9T3TpY8H-9-ntNBO_zrYrgNKuAe_XfTeFnU"",""1-12每月!$K8"")"),853.0)</f>
        <v>853</v>
      </c>
      <c r="AL8" s="83">
        <f>IFERROR(__xludf.DUMMYFUNCTION("IMPORTRANGE(""https://docs.google.com/spreadsheets/d/1Y9Uv46r1nA3ixCGwTWZqhGQWDt4KVX4iXmhJgHL5CGQ"",""1-12每月!$K8"")"),11631.0)</f>
        <v>11631</v>
      </c>
      <c r="AM8" s="83">
        <f>IFERROR(__xludf.DUMMYFUNCTION("IMPORTRANGE(""https://docs.google.com/spreadsheets/d/1E3X732-CKfouAVQOwKyrePWwI1Bwg9NHD0VD42lyiu4/edit?gid=1513765949#gid=1513765949"",""1-12每月!$K8"")"),12173.0)</f>
        <v>12173</v>
      </c>
      <c r="AN8" s="114"/>
      <c r="AO8" s="114"/>
      <c r="AP8" s="114"/>
      <c r="AQ8" s="114"/>
      <c r="AR8" s="84"/>
    </row>
    <row r="9" ht="15.75" customHeight="1">
      <c r="A9" s="85">
        <v>5.0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f>IFERROR(__xludf.DUMMYFUNCTION("IMPORTRANGE(""https://docs.google.com/spreadsheets/d/1qeecSCKZ78ENQrsyUYpSNZqvo0-Y-uuGKFA1F06yLEM/edit#gid=874445072?usp=sharing"",""1-12每月!$L9"")"),24760.0)</f>
        <v>24760</v>
      </c>
      <c r="AH9" s="83">
        <f>IFERROR(__xludf.DUMMYFUNCTION("IMPORTRANGE(""https://docs.google.com/spreadsheets/d/1BSX0y1fIKw9-3VTr627UzGVjwKe74kwBkuFnvlaueNo/edit#gid=1113655470"",""1-12每月!$L9"")"),11300.0)</f>
        <v>11300</v>
      </c>
      <c r="AI9" s="83">
        <f>IFERROR(__xludf.DUMMYFUNCTION("IMPORTRANGE(""https://docs.google.com/spreadsheets/d/1bQzlrSGiVqBrfQ6FKnw67vhBELFgthonryGzmQabVFQ/edit#gid=1015697053"",""1-12每月!$L9"")"),5319.0)</f>
        <v>5319</v>
      </c>
      <c r="AJ9" s="83">
        <f>IFERROR(__xludf.DUMMYFUNCTION("IMPORTRANGE(""https://docs.google.com/spreadsheets/d/1Pem-mgCz4CF6EUKNVxDQx16g9jie0F5YNDQ_cPnMHYs"",""1-12每月!$L9"")"),8563.0)</f>
        <v>8563</v>
      </c>
      <c r="AK9" s="83">
        <f>IFERROR(__xludf.DUMMYFUNCTION("IMPORTRANGE(""https://docs.google.com/spreadsheets/d/1ZoRtUl0m9T3TpY8H-9-ntNBO_zrYrgNKuAe_XfTeFnU"",""1-12每月!$K9"")"),0.0)</f>
        <v>0</v>
      </c>
      <c r="AL9" s="83">
        <f>IFERROR(__xludf.DUMMYFUNCTION("IMPORTRANGE(""https://docs.google.com/spreadsheets/d/1Y9Uv46r1nA3ixCGwTWZqhGQWDt4KVX4iXmhJgHL5CGQ"",""1-12每月!$K9"")"),10896.0)</f>
        <v>10896</v>
      </c>
      <c r="AM9" s="83">
        <f>IFERROR(__xludf.DUMMYFUNCTION("IMPORTRANGE(""https://docs.google.com/spreadsheets/d/1E3X732-CKfouAVQOwKyrePWwI1Bwg9NHD0VD42lyiu4/edit?gid=1513765949#gid=1513765949"",""1-12每月!$K9"")"),11729.0)</f>
        <v>11729</v>
      </c>
      <c r="AN9" s="114"/>
      <c r="AO9" s="114"/>
      <c r="AP9" s="114"/>
      <c r="AQ9" s="114"/>
      <c r="AR9" s="84"/>
    </row>
    <row r="10" ht="15.75" customHeight="1">
      <c r="A10" s="85">
        <v>6.0</v>
      </c>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f>IFERROR(__xludf.DUMMYFUNCTION("IMPORTRANGE(""https://docs.google.com/spreadsheets/d/1qeecSCKZ78ENQrsyUYpSNZqvo0-Y-uuGKFA1F06yLEM/edit#gid=874445072?usp=sharing"",""1-12每月!$L10"")"),51298.0)</f>
        <v>51298</v>
      </c>
      <c r="AH10" s="83">
        <f>IFERROR(__xludf.DUMMYFUNCTION("IMPORTRANGE(""https://docs.google.com/spreadsheets/d/1BSX0y1fIKw9-3VTr627UzGVjwKe74kwBkuFnvlaueNo/edit#gid=1113655470"",""1-12每月!$L10"")"),0.0)</f>
        <v>0</v>
      </c>
      <c r="AI10" s="83">
        <f>IFERROR(__xludf.DUMMYFUNCTION("IMPORTRANGE(""https://docs.google.com/spreadsheets/d/1bQzlrSGiVqBrfQ6FKnw67vhBELFgthonryGzmQabVFQ/edit#gid=1015697053"",""1-12每月!$L10"")"),11158.0)</f>
        <v>11158</v>
      </c>
      <c r="AJ10" s="83">
        <f>IFERROR(__xludf.DUMMYFUNCTION("IMPORTRANGE(""https://docs.google.com/spreadsheets/d/1Pem-mgCz4CF6EUKNVxDQx16g9jie0F5YNDQ_cPnMHYs"",""1-12每月!$L10"")"),12610.0)</f>
        <v>12610</v>
      </c>
      <c r="AK10" s="83">
        <f>IFERROR(__xludf.DUMMYFUNCTION("IMPORTRANGE(""https://docs.google.com/spreadsheets/d/1ZoRtUl0m9T3TpY8H-9-ntNBO_zrYrgNKuAe_XfTeFnU"",""1-12每月!$K10"")"),0.0)</f>
        <v>0</v>
      </c>
      <c r="AL10" s="83">
        <f>IFERROR(__xludf.DUMMYFUNCTION("IMPORTRANGE(""https://docs.google.com/spreadsheets/d/1Y9Uv46r1nA3ixCGwTWZqhGQWDt4KVX4iXmhJgHL5CGQ"",""1-12每月!$K10"")"),10614.0)</f>
        <v>10614</v>
      </c>
      <c r="AM10" s="83">
        <f>IFERROR(__xludf.DUMMYFUNCTION("IMPORTRANGE(""https://docs.google.com/spreadsheets/d/1E3X732-CKfouAVQOwKyrePWwI1Bwg9NHD0VD42lyiu4/edit?gid=1513765949#gid=1513765949"",""1-12每月!$K10"")"),11097.0)</f>
        <v>11097</v>
      </c>
      <c r="AN10" s="115"/>
      <c r="AO10" s="115"/>
      <c r="AP10" s="115"/>
      <c r="AQ10" s="115"/>
      <c r="AR10" s="108"/>
    </row>
    <row r="11" ht="15.75" customHeight="1">
      <c r="A11" s="85">
        <v>7.0</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f>IFERROR(__xludf.DUMMYFUNCTION("IMPORTRANGE(""https://docs.google.com/spreadsheets/d/1qeecSCKZ78ENQrsyUYpSNZqvo0-Y-uuGKFA1F06yLEM/edit#gid=874445072?usp=sharing"",""1-12每月!$L11"")"),90650.0)</f>
        <v>90650</v>
      </c>
      <c r="AH11" s="83">
        <f>IFERROR(__xludf.DUMMYFUNCTION("IMPORTRANGE(""https://docs.google.com/spreadsheets/d/1BSX0y1fIKw9-3VTr627UzGVjwKe74kwBkuFnvlaueNo/edit#gid=1113655470"",""1-12每月!$L11"")"),3346.0)</f>
        <v>3346</v>
      </c>
      <c r="AI11" s="83">
        <f>IFERROR(__xludf.DUMMYFUNCTION("IMPORTRANGE(""https://docs.google.com/spreadsheets/d/1bQzlrSGiVqBrfQ6FKnw67vhBELFgthonryGzmQabVFQ/edit#gid=1015697053"",""1-12每月!$L11"")"),25592.0)</f>
        <v>25592</v>
      </c>
      <c r="AJ11" s="83">
        <f>IFERROR(__xludf.DUMMYFUNCTION("IMPORTRANGE(""https://docs.google.com/spreadsheets/d/1Pem-mgCz4CF6EUKNVxDQx16g9jie0F5YNDQ_cPnMHYs"",""1-12每月!$L11"")"),16085.0)</f>
        <v>16085</v>
      </c>
      <c r="AK11" s="83">
        <f>IFERROR(__xludf.DUMMYFUNCTION("IMPORTRANGE(""https://docs.google.com/spreadsheets/d/1ZoRtUl0m9T3TpY8H-9-ntNBO_zrYrgNKuAe_XfTeFnU"",""1-12每月!$K11"")"),0.0)</f>
        <v>0</v>
      </c>
      <c r="AL11" s="83">
        <f>IFERROR(__xludf.DUMMYFUNCTION("IMPORTRANGE(""https://docs.google.com/spreadsheets/d/1Y9Uv46r1nA3ixCGwTWZqhGQWDt4KVX4iXmhJgHL5CGQ"",""1-12每月!$K11"")"),10762.0)</f>
        <v>10762</v>
      </c>
      <c r="AM11" s="83">
        <f>IFERROR(__xludf.DUMMYFUNCTION("IMPORTRANGE(""https://docs.google.com/spreadsheets/d/1E3X732-CKfouAVQOwKyrePWwI1Bwg9NHD0VD42lyiu4/edit?gid=1513765949#gid=1513765949"",""1-12每月!$K11"")"),0.0)</f>
        <v>0</v>
      </c>
      <c r="AN11" s="115"/>
      <c r="AO11" s="115"/>
      <c r="AP11" s="115"/>
      <c r="AQ11" s="115"/>
      <c r="AR11" s="108"/>
    </row>
    <row r="12" ht="15.75" customHeight="1">
      <c r="A12" s="85">
        <v>8.0</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f>IFERROR(__xludf.DUMMYFUNCTION("IMPORTRANGE(""https://docs.google.com/spreadsheets/d/1qeecSCKZ78ENQrsyUYpSNZqvo0-Y-uuGKFA1F06yLEM/edit#gid=874445072?usp=sharing"",""1-12每月!$L12"")"),96400.0)</f>
        <v>96400</v>
      </c>
      <c r="AH12" s="83">
        <f>IFERROR(__xludf.DUMMYFUNCTION("IMPORTRANGE(""https://docs.google.com/spreadsheets/d/1BSX0y1fIKw9-3VTr627UzGVjwKe74kwBkuFnvlaueNo/edit#gid=1113655470"",""1-12每月!$L12"")"),14604.0)</f>
        <v>14604</v>
      </c>
      <c r="AI12" s="83">
        <f>IFERROR(__xludf.DUMMYFUNCTION("IMPORTRANGE(""https://docs.google.com/spreadsheets/d/1bQzlrSGiVqBrfQ6FKnw67vhBELFgthonryGzmQabVFQ/edit#gid=1015697053"",""1-12每月!$L12"")"),25547.0)</f>
        <v>25547</v>
      </c>
      <c r="AJ12" s="83">
        <f>IFERROR(__xludf.DUMMYFUNCTION("IMPORTRANGE(""https://docs.google.com/spreadsheets/d/1Pem-mgCz4CF6EUKNVxDQx16g9jie0F5YNDQ_cPnMHYs"",""1-12每月!$L12"")"),15419.0)</f>
        <v>15419</v>
      </c>
      <c r="AK12" s="83">
        <f>IFERROR(__xludf.DUMMYFUNCTION("IMPORTRANGE(""https://docs.google.com/spreadsheets/d/1ZoRtUl0m9T3TpY8H-9-ntNBO_zrYrgNKuAe_XfTeFnU"",""1-12每月!$K12"")"),0.0)</f>
        <v>0</v>
      </c>
      <c r="AL12" s="83">
        <f>IFERROR(__xludf.DUMMYFUNCTION("IMPORTRANGE(""https://docs.google.com/spreadsheets/d/1Y9Uv46r1nA3ixCGwTWZqhGQWDt4KVX4iXmhJgHL5CGQ"",""1-12每月!$K12"")"),12054.0)</f>
        <v>12054</v>
      </c>
      <c r="AM12" s="83">
        <f>IFERROR(__xludf.DUMMYFUNCTION("IMPORTRANGE(""https://docs.google.com/spreadsheets/d/1E3X732-CKfouAVQOwKyrePWwI1Bwg9NHD0VD42lyiu4/edit?gid=1513765949#gid=1513765949"",""1-12每月!$K12"")"),0.0)</f>
        <v>0</v>
      </c>
      <c r="AN12" s="115"/>
      <c r="AO12" s="115"/>
      <c r="AP12" s="115"/>
      <c r="AQ12" s="115"/>
      <c r="AR12" s="108"/>
    </row>
    <row r="13" ht="15.75" customHeight="1">
      <c r="A13" s="85">
        <v>9.0</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f>IFERROR(__xludf.DUMMYFUNCTION("IMPORTRANGE(""https://docs.google.com/spreadsheets/d/1qeecSCKZ78ENQrsyUYpSNZqvo0-Y-uuGKFA1F06yLEM/edit#gid=874445072?usp=sharing"",""1-12每月!$L13"")"),56049.0)</f>
        <v>56049</v>
      </c>
      <c r="AH13" s="83">
        <f>IFERROR(__xludf.DUMMYFUNCTION("IMPORTRANGE(""https://docs.google.com/spreadsheets/d/1BSX0y1fIKw9-3VTr627UzGVjwKe74kwBkuFnvlaueNo/edit#gid=1113655470"",""1-12每月!$L13"")"),9239.0)</f>
        <v>9239</v>
      </c>
      <c r="AI13" s="83">
        <f>IFERROR(__xludf.DUMMYFUNCTION("IMPORTRANGE(""https://docs.google.com/spreadsheets/d/1bQzlrSGiVqBrfQ6FKnw67vhBELFgthonryGzmQabVFQ/edit#gid=1015697053"",""1-12每月!$L13"")"),14865.0)</f>
        <v>14865</v>
      </c>
      <c r="AJ13" s="83">
        <f>IFERROR(__xludf.DUMMYFUNCTION("IMPORTRANGE(""https://docs.google.com/spreadsheets/d/1Pem-mgCz4CF6EUKNVxDQx16g9jie0F5YNDQ_cPnMHYs"",""1-12每月!$L13"")"),8922.0)</f>
        <v>8922</v>
      </c>
      <c r="AK13" s="83">
        <f>IFERROR(__xludf.DUMMYFUNCTION("IMPORTRANGE(""https://docs.google.com/spreadsheets/d/1ZoRtUl0m9T3TpY8H-9-ntNBO_zrYrgNKuAe_XfTeFnU"",""1-12每月!$K13"")"),0.0)</f>
        <v>0</v>
      </c>
      <c r="AL13" s="83">
        <f>IFERROR(__xludf.DUMMYFUNCTION("IMPORTRANGE(""https://docs.google.com/spreadsheets/d/1Y9Uv46r1nA3ixCGwTWZqhGQWDt4KVX4iXmhJgHL5CGQ"",""1-12每月!$K13"")"),12431.0)</f>
        <v>12431</v>
      </c>
      <c r="AM13" s="83">
        <f>IFERROR(__xludf.DUMMYFUNCTION("IMPORTRANGE(""https://docs.google.com/spreadsheets/d/1E3X732-CKfouAVQOwKyrePWwI1Bwg9NHD0VD42lyiu4/edit?gid=1513765949#gid=1513765949"",""1-12每月!$K13"")"),0.0)</f>
        <v>0</v>
      </c>
      <c r="AN13" s="115"/>
      <c r="AO13" s="115"/>
      <c r="AP13" s="115"/>
      <c r="AQ13" s="115"/>
      <c r="AR13" s="108"/>
    </row>
    <row r="14" ht="15.75" customHeight="1">
      <c r="A14" s="85">
        <v>10.0</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f>IFERROR(__xludf.DUMMYFUNCTION("IMPORTRANGE(""https://docs.google.com/spreadsheets/d/1qeecSCKZ78ENQrsyUYpSNZqvo0-Y-uuGKFA1F06yLEM/edit#gid=874445072?usp=sharing"",""1-12每月!$L14"")"),30486.0)</f>
        <v>30486</v>
      </c>
      <c r="AH14" s="83">
        <f>IFERROR(__xludf.DUMMYFUNCTION("IMPORTRANGE(""https://docs.google.com/spreadsheets/d/1BSX0y1fIKw9-3VTr627UzGVjwKe74kwBkuFnvlaueNo/edit#gid=1113655470"",""1-12每月!$L14"")"),19604.0)</f>
        <v>19604</v>
      </c>
      <c r="AI14" s="83">
        <f>IFERROR(__xludf.DUMMYFUNCTION("IMPORTRANGE(""https://docs.google.com/spreadsheets/d/1bQzlrSGiVqBrfQ6FKnw67vhBELFgthonryGzmQabVFQ/edit#gid=1015697053"",""1-12每月!$L14"")"),11300.0)</f>
        <v>11300</v>
      </c>
      <c r="AJ14" s="83">
        <f>IFERROR(__xludf.DUMMYFUNCTION("IMPORTRANGE(""https://docs.google.com/spreadsheets/d/1Pem-mgCz4CF6EUKNVxDQx16g9jie0F5YNDQ_cPnMHYs"",""1-12每月!$L14"")"),12521.0)</f>
        <v>12521</v>
      </c>
      <c r="AK14" s="83">
        <f>IFERROR(__xludf.DUMMYFUNCTION("IMPORTRANGE(""https://docs.google.com/spreadsheets/d/1ZoRtUl0m9T3TpY8H-9-ntNBO_zrYrgNKuAe_XfTeFnU"",""1-12每月!$K14"")"),7704.0)</f>
        <v>7704</v>
      </c>
      <c r="AL14" s="83">
        <f>IFERROR(__xludf.DUMMYFUNCTION("IMPORTRANGE(""https://docs.google.com/spreadsheets/d/1Y9Uv46r1nA3ixCGwTWZqhGQWDt4KVX4iXmhJgHL5CGQ"",""1-12每月!$K14"")"),14304.0)</f>
        <v>14304</v>
      </c>
      <c r="AM14" s="83">
        <f>IFERROR(__xludf.DUMMYFUNCTION("IMPORTRANGE(""https://docs.google.com/spreadsheets/d/1E3X732-CKfouAVQOwKyrePWwI1Bwg9NHD0VD42lyiu4/edit?gid=1513765949#gid=1513765949"",""1-12每月!$K14"")"),0.0)</f>
        <v>0</v>
      </c>
      <c r="AN14" s="115"/>
      <c r="AO14" s="115"/>
      <c r="AP14" s="115"/>
      <c r="AQ14" s="115"/>
      <c r="AR14" s="108"/>
    </row>
    <row r="15" ht="15.75" customHeight="1">
      <c r="A15" s="85">
        <v>11.0</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f>IFERROR(__xludf.DUMMYFUNCTION("IMPORTRANGE(""https://docs.google.com/spreadsheets/d/1qeecSCKZ78ENQrsyUYpSNZqvo0-Y-uuGKFA1F06yLEM/edit#gid=874445072?usp=sharing"",""1-12每月!$L15"")"),0.0)</f>
        <v>0</v>
      </c>
      <c r="AH15" s="83">
        <f>IFERROR(__xludf.DUMMYFUNCTION("IMPORTRANGE(""https://docs.google.com/spreadsheets/d/1BSX0y1fIKw9-3VTr627UzGVjwKe74kwBkuFnvlaueNo/edit#gid=1113655470"",""1-12每月!$L15"")"),18557.0)</f>
        <v>18557</v>
      </c>
      <c r="AI15" s="83">
        <f>IFERROR(__xludf.DUMMYFUNCTION("IMPORTRANGE(""https://docs.google.com/spreadsheets/d/1bQzlrSGiVqBrfQ6FKnw67vhBELFgthonryGzmQabVFQ/edit#gid=1015697053"",""1-12每月!$L15"")"),9428.0)</f>
        <v>9428</v>
      </c>
      <c r="AJ15" s="83">
        <f>IFERROR(__xludf.DUMMYFUNCTION("IMPORTRANGE(""https://docs.google.com/spreadsheets/d/1Pem-mgCz4CF6EUKNVxDQx16g9jie0F5YNDQ_cPnMHYs"",""1-12每月!$L15"")"),10012.0)</f>
        <v>10012</v>
      </c>
      <c r="AK15" s="83">
        <f>IFERROR(__xludf.DUMMYFUNCTION("IMPORTRANGE(""https://docs.google.com/spreadsheets/d/1ZoRtUl0m9T3TpY8H-9-ntNBO_zrYrgNKuAe_XfTeFnU"",""1-12每月!$K15"")"),8316.0)</f>
        <v>8316</v>
      </c>
      <c r="AL15" s="83">
        <f>IFERROR(__xludf.DUMMYFUNCTION("IMPORTRANGE(""https://docs.google.com/spreadsheets/d/1Y9Uv46r1nA3ixCGwTWZqhGQWDt4KVX4iXmhJgHL5CGQ"",""1-12每月!$K15"")"),11400.0)</f>
        <v>11400</v>
      </c>
      <c r="AM15" s="83">
        <f>IFERROR(__xludf.DUMMYFUNCTION("IMPORTRANGE(""https://docs.google.com/spreadsheets/d/1E3X732-CKfouAVQOwKyrePWwI1Bwg9NHD0VD42lyiu4/edit?gid=1513765949#gid=1513765949"",""1-12每月!$K15"")"),0.0)</f>
        <v>0</v>
      </c>
      <c r="AN15" s="115"/>
      <c r="AO15" s="115"/>
      <c r="AP15" s="115"/>
      <c r="AQ15" s="115"/>
      <c r="AR15" s="108"/>
    </row>
    <row r="16" ht="15.75" customHeight="1">
      <c r="A16" s="85">
        <v>12.0</v>
      </c>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f>IFERROR(__xludf.DUMMYFUNCTION("IMPORTRANGE(""https://docs.google.com/spreadsheets/d/1qeecSCKZ78ENQrsyUYpSNZqvo0-Y-uuGKFA1F06yLEM/edit#gid=874445072?usp=sharing"",""1-12每月!$L16"")"),0.0)</f>
        <v>0</v>
      </c>
      <c r="AH16" s="83">
        <f>IFERROR(__xludf.DUMMYFUNCTION("IMPORTRANGE(""https://docs.google.com/spreadsheets/d/1BSX0y1fIKw9-3VTr627UzGVjwKe74kwBkuFnvlaueNo/edit#gid=1113655470"",""1-12每月!$L16"")"),22314.0)</f>
        <v>22314</v>
      </c>
      <c r="AI16" s="83">
        <f>IFERROR(__xludf.DUMMYFUNCTION("IMPORTRANGE(""https://docs.google.com/spreadsheets/d/1bQzlrSGiVqBrfQ6FKnw67vhBELFgthonryGzmQabVFQ/edit#gid=1015697053"",""1-12每月!$L16"")"),10180.0)</f>
        <v>10180</v>
      </c>
      <c r="AJ16" s="83">
        <f>IFERROR(__xludf.DUMMYFUNCTION("IMPORTRANGE(""https://docs.google.com/spreadsheets/d/1Pem-mgCz4CF6EUKNVxDQx16g9jie0F5YNDQ_cPnMHYs"",""1-12每月!$L16"")"),9896.0)</f>
        <v>9896</v>
      </c>
      <c r="AK16" s="83">
        <f>IFERROR(__xludf.DUMMYFUNCTION("IMPORTRANGE(""https://docs.google.com/spreadsheets/d/1ZoRtUl0m9T3TpY8H-9-ntNBO_zrYrgNKuAe_XfTeFnU"",""1-12每月!$K16"")"),9487.0)</f>
        <v>9487</v>
      </c>
      <c r="AL16" s="83">
        <f>IFERROR(__xludf.DUMMYFUNCTION("IMPORTRANGE(""https://docs.google.com/spreadsheets/d/1Y9Uv46r1nA3ixCGwTWZqhGQWDt4KVX4iXmhJgHL5CGQ"",""1-12每月!$K16"")"),9621.0)</f>
        <v>9621</v>
      </c>
      <c r="AM16" s="83">
        <f>IFERROR(__xludf.DUMMYFUNCTION("IMPORTRANGE(""https://docs.google.com/spreadsheets/d/1E3X732-CKfouAVQOwKyrePWwI1Bwg9NHD0VD42lyiu4/edit?gid=1513765949#gid=1513765949"",""1-12每月!$K16"")"),0.0)</f>
        <v>0</v>
      </c>
      <c r="AN16" s="115"/>
      <c r="AO16" s="115"/>
      <c r="AP16" s="115"/>
      <c r="AQ16" s="115"/>
      <c r="AR16" s="108"/>
    </row>
    <row r="17" ht="15.75" customHeight="1">
      <c r="A17" s="86" t="s">
        <v>45</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f t="shared" ref="AG17:AR17" si="1">SUM(AG5:AG16)</f>
        <v>468086</v>
      </c>
      <c r="AH17" s="87">
        <f t="shared" si="1"/>
        <v>209028</v>
      </c>
      <c r="AI17" s="87">
        <f t="shared" si="1"/>
        <v>172688</v>
      </c>
      <c r="AJ17" s="87">
        <f t="shared" si="1"/>
        <v>142517</v>
      </c>
      <c r="AK17" s="87">
        <f t="shared" si="1"/>
        <v>70887</v>
      </c>
      <c r="AL17" s="87">
        <f t="shared" si="1"/>
        <v>134031</v>
      </c>
      <c r="AM17" s="87">
        <f t="shared" si="1"/>
        <v>67134</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c r="O18" s="90"/>
      <c r="P18" s="90"/>
      <c r="Q18" s="90"/>
      <c r="R18" s="90"/>
      <c r="S18" s="90"/>
      <c r="T18" s="90"/>
      <c r="U18" s="90"/>
      <c r="V18" s="90"/>
      <c r="W18" s="90"/>
      <c r="X18" s="90"/>
      <c r="Y18" s="90"/>
      <c r="Z18" s="90"/>
      <c r="AA18" s="90"/>
      <c r="AB18" s="90"/>
      <c r="AC18" s="90"/>
      <c r="AD18" s="90"/>
      <c r="AE18" s="90"/>
      <c r="AF18" s="90"/>
      <c r="AG18" s="90"/>
      <c r="AH18" s="90">
        <f t="shared" ref="AH18:AR18" si="2">IF(AG17=0,0,(AH17-AG17)/AG17)</f>
        <v>-0.5534410343</v>
      </c>
      <c r="AI18" s="90">
        <f t="shared" si="2"/>
        <v>-0.1738523069</v>
      </c>
      <c r="AJ18" s="90">
        <f t="shared" si="2"/>
        <v>-0.174713935</v>
      </c>
      <c r="AK18" s="90">
        <f t="shared" si="2"/>
        <v>-0.5026067066</v>
      </c>
      <c r="AL18" s="90">
        <f t="shared" si="2"/>
        <v>0.8907698168</v>
      </c>
      <c r="AM18" s="90">
        <f t="shared" si="2"/>
        <v>-0.4991158762</v>
      </c>
      <c r="AN18" s="90">
        <f t="shared" si="2"/>
        <v>-1</v>
      </c>
      <c r="AO18" s="90">
        <f t="shared" si="2"/>
        <v>0</v>
      </c>
      <c r="AP18" s="90">
        <f t="shared" si="2"/>
        <v>0</v>
      </c>
      <c r="AQ18" s="90">
        <f t="shared" si="2"/>
        <v>0</v>
      </c>
      <c r="AR18" s="91">
        <f t="shared" si="2"/>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162</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77" t="s">
        <v>163</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164</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77" t="s">
        <v>105</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3">SUM(AD$5:AD$6)</f>
        <v>0</v>
      </c>
      <c r="AE23" s="92">
        <f t="shared" si="3"/>
        <v>0</v>
      </c>
      <c r="AF23" s="77"/>
      <c r="AG23" s="92">
        <f>'綠島遊憩區'!AD21+'東部海岸富岡地質公園及加路蘭休憩區'!AD24+'水往上流遊憩區(113年起停計)'!AD23+'都歷處本部'!AD24+'三仙台遊憩區及周邊地區'!AD23+'八仙洞遊憩區'!AD23+'秀姑巒溪遊客中心園區'!AD23+'石梯坪遊憩區'!AD24+'磯崎海濱遊憩區(113年起停計)'!AD20+'花蓮海洋公園'!AD20+'花蓮遊客中心園區'!AD23</f>
        <v>565436</v>
      </c>
      <c r="AH23" s="92">
        <f>'綠島遊憩區'!AE21+'東部海岸富岡地質公園及加路蘭休憩區'!AE24+'水往上流遊憩區(113年起停計)'!AE23+'都歷處本部'!AE24+'三仙台遊憩區及周邊地區'!AE23+'八仙洞遊憩區'!AE23+'秀姑巒溪遊客中心園區'!AE23+'石梯坪遊憩區'!AE24+'磯崎海濱遊憩區(113年起停計)'!AE20+'花蓮海洋公園'!AE20+'花蓮遊客中心園區'!AE23</f>
        <v>382598.68</v>
      </c>
      <c r="AI23" s="106">
        <f t="shared" ref="AI23:AI24" si="5">(AH23-AG23)/AG23</f>
        <v>-0.323356348</v>
      </c>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4">SUM(AD$7:AD$11)</f>
        <v>0</v>
      </c>
      <c r="AE24" s="92">
        <f t="shared" si="4"/>
        <v>0</v>
      </c>
      <c r="AF24" s="77"/>
      <c r="AG24" s="92">
        <f>'綠島遊憩區'!AD22+'東部海岸富岡地質公園及加路蘭休憩區'!AD25+'水往上流遊憩區(113年起停計)'!AD24+'都歷處本部'!AD25+'三仙台遊憩區及周邊地區'!AD24+'八仙洞遊憩區'!AD24+'秀姑巒溪遊客中心園區'!AD24+'石梯坪遊憩區'!AD25+'磯崎海濱遊憩區(113年起停計)'!AD21+'花蓮海洋公園'!AD21+'花蓮遊客中心園區'!AD24</f>
        <v>1292495</v>
      </c>
      <c r="AH24" s="92">
        <f>'綠島遊憩區'!AE22+'東部海岸富岡地質公園及加路蘭休憩區'!AE25+'水往上流遊憩區(113年起停計)'!AE24+'都歷處本部'!AE25+'三仙台遊憩區及周邊地區'!AE24+'八仙洞遊憩區'!AE24+'秀姑巒溪遊客中心園區'!AE24+'石梯坪遊憩區'!AE25+'磯崎海濱遊憩區(113年起停計)'!AE21+'花蓮海洋公園'!AE21+'花蓮遊客中心園區'!AE24</f>
        <v>1406963.29</v>
      </c>
      <c r="AI24" s="106">
        <f t="shared" si="5"/>
        <v>0.08856381649</v>
      </c>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92">
        <f t="shared" ref="AG25:AH25" si="6">SUM(AG23:AG24)</f>
        <v>1857931</v>
      </c>
      <c r="AH25" s="92">
        <f t="shared" si="6"/>
        <v>1789561.97</v>
      </c>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4" width="9.11"/>
    <col customWidth="1" hidden="1" min="5" max="13" width="9.11"/>
    <col customWidth="1" hidden="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3" width="9.11"/>
    <col customWidth="1" min="44" max="44" width="13.67"/>
  </cols>
  <sheetData>
    <row r="1" ht="15.75" customHeight="1">
      <c r="A1" s="74" t="s">
        <v>165</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166</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IFERROR(__xludf.DUMMYFUNCTION("IMPORTRANGE(""https://docs.google.com/spreadsheets/d/1dffLfsI-BGVz-K0zdrsWfGaqrFfoLJAhq001merp6Rk/edit?usp=sharing"",""1-12每月!$K5"")"),2374.0)</f>
        <v>2374</v>
      </c>
      <c r="N5" s="83">
        <f>IFERROR(__xludf.DUMMYFUNCTION("IMPORTRANGE(""https://docs.google.com/spreadsheets/d/1SzxpZPUDnwxS8mSOLGEH5NbWU7ZW_VcRmIn7psOvuTs/edit#gid=1650312294?usp=sharing"",""1-12每月!$K5"")"),6817.0)</f>
        <v>6817</v>
      </c>
      <c r="O5" s="83">
        <f>IFERROR(__xludf.DUMMYFUNCTION("IMPORTRANGE(""https://docs.google.com/spreadsheets/d/1ta9i7cAkOPF0LapwmU_YEDA4IPQvKNuaYVMY8vIVPwI/edit#gid=1607741572?usp=sharing"",""1-12每月!$K5"")"),4439.0)</f>
        <v>4439</v>
      </c>
      <c r="P5" s="83">
        <f>IFERROR(__xludf.DUMMYFUNCTION("IMPORTRANGE(""https://docs.google.com/spreadsheets/d/1f4WWQfcNBonYqfzcaBhJlHzPwh34sx4U6naz-Aw2G4I/edit#gid=2097425894?usp=sharing"",""1-12每月!$L5"")"),2106.0)</f>
        <v>2106</v>
      </c>
      <c r="Q5" s="83">
        <f>IFERROR(__xludf.DUMMYFUNCTION("IMPORTRANGE(""https://docs.google.com/spreadsheets/d/1pCmmgCj7Y_SQPZLsiVd3yvND9oLyryVfBwNxC6OUwm8/edit#gid=170549058?usp=sharing"",""1-12每月!$L5"")"),9011.0)</f>
        <v>9011</v>
      </c>
      <c r="R5" s="83">
        <f>IFERROR(__xludf.DUMMYFUNCTION("IMPORTRANGE(""https://docs.google.com/spreadsheets/d/1hrRqxxacrLITR_JGMRVbhSRCIZIU8gAv0o_aOkHz68M/edit#gid=763155734?usp=sharing"",""1-12每月!$L5"")"),7005.0)</f>
        <v>7005</v>
      </c>
      <c r="S5" s="83">
        <f>IFERROR(__xludf.DUMMYFUNCTION("IMPORTRANGE(""https://docs.google.com/spreadsheets/d/1AKS3XWcgwNLFRbGU-lJ3UBHDQNdglvKwrv4_Bpp1IjU/edit#gid=73116376?usp=sharing"",""1-12每月!$K5"")"),8010.0)</f>
        <v>8010</v>
      </c>
      <c r="T5" s="83">
        <f>IFERROR(__xludf.DUMMYFUNCTION("IMPORTRANGE(""https://docs.google.com/spreadsheets/d/1wGGXGHkWT5JsjUDTy4FnHN_O9ae4MADbMykqIWVThNc/edit#gid=297806252"",""1-12每月!$K5"")"),9159.0)</f>
        <v>9159</v>
      </c>
      <c r="U5" s="83">
        <f>IFERROR(__xludf.DUMMYFUNCTION("IMPORTRANGE(""https://docs.google.com/spreadsheets/d/1ShTgtQQDjMKpYx-TJ_lwdxnWSzJNUcNnzR3fJjoaZec/edit#gid=66107904"",""1-12每月!$K5"")"),6634.0)</f>
        <v>6634</v>
      </c>
      <c r="V5" s="83">
        <f>IFERROR(__xludf.DUMMYFUNCTION("IMPORTRANGE(""https://docs.google.com/spreadsheets/d/1_eyuyKbXFCJd6fVFEKQwugwYCbRCmmWN_M7XR1dtOb8/edit#gid=951918895"",""1-12每月!$K5"")"),2893.0)</f>
        <v>2893</v>
      </c>
      <c r="W5" s="83">
        <f>IFERROR(__xludf.DUMMYFUNCTION("IMPORTRANGE(""https://docs.google.com/spreadsheets/d/1yEpHI9_Y4w8sRmPP9C-mYK4NMfVuTJifGLMj4FMdqek/edit#gid=799087919"",""1-12每月!$K5"")"),3147.0)</f>
        <v>3147</v>
      </c>
      <c r="X5" s="83">
        <f>IFERROR(__xludf.DUMMYFUNCTION("IMPORTRANGE(""https://docs.google.com/spreadsheets/d/1Vbyb9GlrY6jOwvoGyZFB96f7WXYjkT6gvTE37DPDXDI/edit#gid=9591526"",""1-12每月!$K5"")"),1682.0)</f>
        <v>1682</v>
      </c>
      <c r="Y5" s="83">
        <f>IFERROR(__xludf.DUMMYFUNCTION("IMPORTRANGE(""https://docs.google.com/spreadsheets/d/1qeckoJwzWQAg8zQ80D-QJP4pnVYH6l2juaUyHtOu6y8/edit#gid=1905704096"",""1-12每月!$K5"")"),6712.0)</f>
        <v>6712</v>
      </c>
      <c r="Z5" s="83">
        <f>IFERROR(__xludf.DUMMYFUNCTION("IMPORTRANGE(""https://docs.google.com/spreadsheets/d/1BcbIi7AD1VDpy_wMQ0YjCG-iuQy0_tkCVqr72a0Pwbg/edit#gid=1099513714"",""1-12每月!$K5"")"),3910.0)</f>
        <v>3910</v>
      </c>
      <c r="AA5" s="83">
        <f>IFERROR(__xludf.DUMMYFUNCTION("IMPORTRANGE(""https://docs.google.com/spreadsheets/d/1cIFCQPaYiOmIt2O3vkEx5eto8sfRtx3JtAWJ1fv31HI/edit#gid=432689709"",""1-12每月!$K5"")"),3528.0)</f>
        <v>3528</v>
      </c>
      <c r="AB5" s="83">
        <f>IFERROR(__xludf.DUMMYFUNCTION("IMPORTRANGE(""https://docs.google.com/spreadsheets/d/1C8ECYlbes2CJkHHGOAyOYVfrP7PdlGr8RMjK7KZd0_o/edit#gid=495469277"",""1-12每月!$K5"")"),4094.0)</f>
        <v>4094</v>
      </c>
      <c r="AC5" s="83">
        <f>IFERROR(__xludf.DUMMYFUNCTION("IMPORTRANGE(""https://docs.google.com/spreadsheets/d/1ettcrhLPK6tkvHZxDTyU2bGIpGSi2ynG91ln0fqz9iE/edit#gid=1364213386"",""1-12每月!$L5"")"),4338.0)</f>
        <v>4338</v>
      </c>
      <c r="AD5" s="83">
        <f>IFERROR(__xludf.DUMMYFUNCTION("IMPORTRANGE(""https://docs.google.com/spreadsheets/d/1xUhm-MtqzfUO8M5WEWVv9w2EFkv5_PHMOsAlA3CcCWU/edit#gid=1700470961"",""1-12每月!$L5"")"),5800.0)</f>
        <v>5800</v>
      </c>
      <c r="AE5" s="83">
        <f>IFERROR(__xludf.DUMMYFUNCTION("IMPORTRANGE(""https://docs.google.com/spreadsheets/d/1DP8wl0QQLYSZ8R2aQ8wNmiAUXn7lVrqMsdTccpBmnQc/edit#gid=1145593933"",""1-12每月!$L5"")"),3835.0)</f>
        <v>3835</v>
      </c>
      <c r="AF5" s="83">
        <f>IFERROR(__xludf.DUMMYFUNCTION("IMPORTRANGE(""https://docs.google.com/spreadsheets/d/17hbKAHrpKLEbG3r9s1Ay3fOGzvOBzSu3Bn_CD4JNLhY/edit#gid=756408948"",""1-12每月!$L5"")"),4464.0)</f>
        <v>4464</v>
      </c>
      <c r="AG5" s="83">
        <f>IFERROR(__xludf.DUMMYFUNCTION("IMPORTRANGE(""https://docs.google.com/spreadsheets/d/1qeecSCKZ78ENQrsyUYpSNZqvo0-Y-uuGKFA1F06yLEM/edit#gid=874445072"",""1-12每月!$M5"")"),7001.0)</f>
        <v>7001</v>
      </c>
      <c r="AH5" s="83">
        <f>IFERROR(__xludf.DUMMYFUNCTION("IMPORTRANGE(""https://docs.google.com/spreadsheets/d/1BSX0y1fIKw9-3VTr627UzGVjwKe74kwBkuFnvlaueNo/edit#gid=1113655470"",""1-12每月!$M5"")"),9310.0)</f>
        <v>9310</v>
      </c>
      <c r="AI5" s="83">
        <f>IFERROR(__xludf.DUMMYFUNCTION("IMPORTRANGE(""https://docs.google.com/spreadsheets/d/1bQzlrSGiVqBrfQ6FKnw67vhBELFgthonryGzmQabVFQ/edit#gid=1015697053"",""1-12每月!$M5"")"),3841.0)</f>
        <v>3841</v>
      </c>
      <c r="AJ5" s="83">
        <f>IFERROR(__xludf.DUMMYFUNCTION("IMPORTRANGE(""https://docs.google.com/spreadsheets/d/1Pem-mgCz4CF6EUKNVxDQx16g9jie0F5YNDQ_cPnMHYs"",""1-12每月!$M5"")"),4782.0)</f>
        <v>4782</v>
      </c>
      <c r="AK5" s="83">
        <f>IFERROR(__xludf.DUMMYFUNCTION("IMPORTRANGE(""https://docs.google.com/spreadsheets/d/1ZoRtUl0m9T3TpY8H-9-ntNBO_zrYrgNKuAe_XfTeFnU"",""1-12每月!$L5"")"),636.0)</f>
        <v>636</v>
      </c>
      <c r="AL5" s="83">
        <f>IFERROR(__xludf.DUMMYFUNCTION("IMPORTRANGE(""https://docs.google.com/spreadsheets/d/1Y9Uv46r1nA3ixCGwTWZqhGQWDt4KVX4iXmhJgHL5CGQ"",""1-12每月!$L5"")"),1016.0)</f>
        <v>1016</v>
      </c>
      <c r="AM5" s="83">
        <f>IFERROR(__xludf.DUMMYFUNCTION("IMPORTRANGE(""https://docs.google.com/spreadsheets/d/1E3X732-CKfouAVQOwKyrePWwI1Bwg9NHD0VD42lyiu4/edit?gid=1513765949#gid=1513765949"",""1-12每月!$L5"")"),806.0)</f>
        <v>806</v>
      </c>
      <c r="AN5" s="114"/>
      <c r="AO5" s="114"/>
      <c r="AP5" s="114"/>
      <c r="AQ5" s="114"/>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IFERROR(__xludf.DUMMYFUNCTION("IMPORTRANGE(""https://docs.google.com/spreadsheets/d/1dffLfsI-BGVz-K0zdrsWfGaqrFfoLJAhq001merp6Rk/edit?usp=sharing"",""1-12每月!$K6"")"),5097.0)</f>
        <v>5097</v>
      </c>
      <c r="N6" s="83">
        <f>IFERROR(__xludf.DUMMYFUNCTION("IMPORTRANGE(""https://docs.google.com/spreadsheets/d/1SzxpZPUDnwxS8mSOLGEH5NbWU7ZW_VcRmIn7psOvuTs/edit#gid=1650312294?usp=sharing"",""1-12每月!$K6"")"),1898.0)</f>
        <v>1898</v>
      </c>
      <c r="O6" s="83">
        <f>IFERROR(__xludf.DUMMYFUNCTION("IMPORTRANGE(""https://docs.google.com/spreadsheets/d/1ta9i7cAkOPF0LapwmU_YEDA4IPQvKNuaYVMY8vIVPwI/edit#gid=1607741572?usp=sharing"",""1-12每月!$K6"")"),8591.0)</f>
        <v>8591</v>
      </c>
      <c r="P6" s="83">
        <f>IFERROR(__xludf.DUMMYFUNCTION("IMPORTRANGE(""https://docs.google.com/spreadsheets/d/1f4WWQfcNBonYqfzcaBhJlHzPwh34sx4U6naz-Aw2G4I/edit#gid=2097425894?usp=sharing"",""1-12每月!$L6"")"),4417.0)</f>
        <v>4417</v>
      </c>
      <c r="Q6" s="83">
        <f>IFERROR(__xludf.DUMMYFUNCTION("IMPORTRANGE(""https://docs.google.com/spreadsheets/d/1pCmmgCj7Y_SQPZLsiVd3yvND9oLyryVfBwNxC6OUwm8/edit#gid=170549058?usp=sharing"",""1-12每月!$L6"")"),7807.0)</f>
        <v>7807</v>
      </c>
      <c r="R6" s="83">
        <f>IFERROR(__xludf.DUMMYFUNCTION("IMPORTRANGE(""https://docs.google.com/spreadsheets/d/1hrRqxxacrLITR_JGMRVbhSRCIZIU8gAv0o_aOkHz68M/edit#gid=763155734?usp=sharing"",""1-12每月!$L6"")"),11765.0)</f>
        <v>11765</v>
      </c>
      <c r="S6" s="83">
        <f>IFERROR(__xludf.DUMMYFUNCTION("IMPORTRANGE(""https://docs.google.com/spreadsheets/d/1AKS3XWcgwNLFRbGU-lJ3UBHDQNdglvKwrv4_Bpp1IjU/edit#gid=73116376?usp=sharing"",""1-12每月!$K6"")"),8604.0)</f>
        <v>8604</v>
      </c>
      <c r="T6" s="83">
        <f>IFERROR(__xludf.DUMMYFUNCTION("IMPORTRANGE(""https://docs.google.com/spreadsheets/d/1wGGXGHkWT5JsjUDTy4FnHN_O9ae4MADbMykqIWVThNc/edit#gid=297806252?usp=sharing"",""1-12每月!$K6"")"),13654.0)</f>
        <v>13654</v>
      </c>
      <c r="U6" s="83">
        <f>IFERROR(__xludf.DUMMYFUNCTION("IMPORTRANGE(""https://docs.google.com/spreadsheets/d/1ShTgtQQDjMKpYx-TJ_lwdxnWSzJNUcNnzR3fJjoaZec/edit#gid=66107904?usp=sharing"",""1-12每月!$K6"")"),5251.0)</f>
        <v>5251</v>
      </c>
      <c r="V6" s="83">
        <f>IFERROR(__xludf.DUMMYFUNCTION("IMPORTRANGE(""https://docs.google.com/spreadsheets/d/1_eyuyKbXFCJd6fVFEKQwugwYCbRCmmWN_M7XR1dtOb8/edit#gid=951918895?usp=sharing"",""1-12每月!$K6"")"),1235.0)</f>
        <v>1235</v>
      </c>
      <c r="W6" s="83">
        <f>IFERROR(__xludf.DUMMYFUNCTION("IMPORTRANGE(""https://docs.google.com/spreadsheets/d/1yEpHI9_Y4w8sRmPP9C-mYK4NMfVuTJifGLMj4FMdqek/edit#gid=799087919?usp=sharing"",""1-12每月!$K6"")"),4241.0)</f>
        <v>4241</v>
      </c>
      <c r="X6" s="83">
        <f>IFERROR(__xludf.DUMMYFUNCTION("IMPORTRANGE(""https://docs.google.com/spreadsheets/d/1Vbyb9GlrY6jOwvoGyZFB96f7WXYjkT6gvTE37DPDXDI/edit#gid=9591526?usp=sharing"",""1-12每月!$K6"")"),3231.0)</f>
        <v>3231</v>
      </c>
      <c r="Y6" s="83">
        <f>IFERROR(__xludf.DUMMYFUNCTION("IMPORTRANGE(""https://docs.google.com/spreadsheets/d/1qeckoJwzWQAg8zQ80D-QJP4pnVYH6l2juaUyHtOu6y8/edit#gid=1905704096?usp=sharing"",""1-12每月!$K6"")"),5140.0)</f>
        <v>5140</v>
      </c>
      <c r="Z6" s="83">
        <f>IFERROR(__xludf.DUMMYFUNCTION("IMPORTRANGE(""https://docs.google.com/spreadsheets/d/1BcbIi7AD1VDpy_wMQ0YjCG-iuQy0_tkCVqr72a0Pwbg/edit#gid=1099513714?usp=sharing"",""1-12每月!$K6"")"),6227.0)</f>
        <v>6227</v>
      </c>
      <c r="AA6" s="83">
        <f>IFERROR(__xludf.DUMMYFUNCTION("IMPORTRANGE(""https://docs.google.com/spreadsheets/d/1cIFCQPaYiOmIt2O3vkEx5eto8sfRtx3JtAWJ1fv31HI/edit#gid=432689709?usp=sharing"",""1-12每月!$K6"")"),4213.0)</f>
        <v>4213</v>
      </c>
      <c r="AB6" s="83">
        <f>IFERROR(__xludf.DUMMYFUNCTION("IMPORTRANGE(""https://docs.google.com/spreadsheets/d/1C8ECYlbes2CJkHHGOAyOYVfrP7PdlGr8RMjK7KZd0_o/edit#gid=495469277?usp=sharing"",""1-12每月!$K6"")"),6096.0)</f>
        <v>6096</v>
      </c>
      <c r="AC6" s="83">
        <f>IFERROR(__xludf.DUMMYFUNCTION("IMPORTRANGE(""https://docs.google.com/spreadsheets/d/1ettcrhLPK6tkvHZxDTyU2bGIpGSi2ynG91ln0fqz9iE/edit#gid=1364213386?usp=sharing"",""1-12每月!$L6"")"),6331.0)</f>
        <v>6331</v>
      </c>
      <c r="AD6" s="83">
        <f>IFERROR(__xludf.DUMMYFUNCTION("IMPORTRANGE(""https://docs.google.com/spreadsheets/d/1xUhm-MtqzfUO8M5WEWVv9w2EFkv5_PHMOsAlA3CcCWU/edit#gid=1700470961?usp=sharing"",""1-12每月!$L6"")"),4726.0)</f>
        <v>4726</v>
      </c>
      <c r="AE6" s="83">
        <f>IFERROR(__xludf.DUMMYFUNCTION("IMPORTRANGE(""https://docs.google.com/spreadsheets/d/1DP8wl0QQLYSZ8R2aQ8wNmiAUXn7lVrqMsdTccpBmnQc/edit#gid=1145593933?usp=sharing"",""1-12每月!$L6"")"),3752.0)</f>
        <v>3752</v>
      </c>
      <c r="AF6" s="83">
        <f>IFERROR(__xludf.DUMMYFUNCTION("IMPORTRANGE(""https://docs.google.com/spreadsheets/d/17hbKAHrpKLEbG3r9s1Ay3fOGzvOBzSu3Bn_CD4JNLhY/edit#gid=756408948?usp=sharing"",""1-12每月!$L6"")"),5873.0)</f>
        <v>5873</v>
      </c>
      <c r="AG6" s="83">
        <f>IFERROR(__xludf.DUMMYFUNCTION("IMPORTRANGE(""https://docs.google.com/spreadsheets/d/1qeecSCKZ78ENQrsyUYpSNZqvo0-Y-uuGKFA1F06yLEM/edit#gid=874445072?usp=sharing"",""1-12每月!$M6"")"),6973.0)</f>
        <v>6973</v>
      </c>
      <c r="AH6" s="83">
        <f>IFERROR(__xludf.DUMMYFUNCTION("IMPORTRANGE(""https://docs.google.com/spreadsheets/d/1BSX0y1fIKw9-3VTr627UzGVjwKe74kwBkuFnvlaueNo/edit#gid=1113655470"",""1-12每月!$M6"")"),8989.0)</f>
        <v>8989</v>
      </c>
      <c r="AI6" s="83">
        <f>IFERROR(__xludf.DUMMYFUNCTION("IMPORTRANGE(""https://docs.google.com/spreadsheets/d/1bQzlrSGiVqBrfQ6FKnw67vhBELFgthonryGzmQabVFQ/edit#gid=1015697053"",""1-12每月!$M6"")"),5897.0)</f>
        <v>5897</v>
      </c>
      <c r="AJ6" s="83">
        <f>IFERROR(__xludf.DUMMYFUNCTION("IMPORTRANGE(""https://docs.google.com/spreadsheets/d/1Pem-mgCz4CF6EUKNVxDQx16g9jie0F5YNDQ_cPnMHYs"",""1-12每月!$M6"")"),4633.0)</f>
        <v>4633</v>
      </c>
      <c r="AK6" s="83">
        <f>IFERROR(__xludf.DUMMYFUNCTION("IMPORTRANGE(""https://docs.google.com/spreadsheets/d/1ZoRtUl0m9T3TpY8H-9-ntNBO_zrYrgNKuAe_XfTeFnU"",""1-12每月!$L6"")"),1032.0)</f>
        <v>1032</v>
      </c>
      <c r="AL6" s="83">
        <f>IFERROR(__xludf.DUMMYFUNCTION("IMPORTRANGE(""https://docs.google.com/spreadsheets/d/1Y9Uv46r1nA3ixCGwTWZqhGQWDt4KVX4iXmhJgHL5CGQ"",""1-12每月!$L6"")"),680.0)</f>
        <v>680</v>
      </c>
      <c r="AM6" s="83">
        <f>IFERROR(__xludf.DUMMYFUNCTION("IMPORTRANGE(""https://docs.google.com/spreadsheets/d/1E3X732-CKfouAVQOwKyrePWwI1Bwg9NHD0VD42lyiu4/edit?gid=1513765949#gid=1513765949"",""1-12每月!$L6"")"),1030.0)</f>
        <v>1030</v>
      </c>
      <c r="AN6" s="114"/>
      <c r="AO6" s="114"/>
      <c r="AP6" s="114"/>
      <c r="AQ6" s="114"/>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IFERROR(__xludf.DUMMYFUNCTION("IMPORTRANGE(""https://docs.google.com/spreadsheets/d/1dffLfsI-BGVz-K0zdrsWfGaqrFfoLJAhq001merp6Rk/edit?usp=sharing"",""1-12每月!$K7"")"),3219.0)</f>
        <v>3219</v>
      </c>
      <c r="N7" s="83">
        <f>IFERROR(__xludf.DUMMYFUNCTION("IMPORTRANGE(""https://docs.google.com/spreadsheets/d/1SzxpZPUDnwxS8mSOLGEH5NbWU7ZW_VcRmIn7psOvuTs/edit#gid=1650312294?usp=sharing"",""1-12每月!$K7"")"),2494.0)</f>
        <v>2494</v>
      </c>
      <c r="O7" s="83">
        <f>IFERROR(__xludf.DUMMYFUNCTION("IMPORTRANGE(""https://docs.google.com/spreadsheets/d/1ta9i7cAkOPF0LapwmU_YEDA4IPQvKNuaYVMY8vIVPwI/edit#gid=1607741572?usp=sharing"",""1-12每月!$K7"")"),2230.0)</f>
        <v>2230</v>
      </c>
      <c r="P7" s="83">
        <f>IFERROR(__xludf.DUMMYFUNCTION("IMPORTRANGE(""https://docs.google.com/spreadsheets/d/1f4WWQfcNBonYqfzcaBhJlHzPwh34sx4U6naz-Aw2G4I/edit#gid=2097425894?usp=sharing"",""1-12每月!$L7"")"),3567.0)</f>
        <v>3567</v>
      </c>
      <c r="Q7" s="83">
        <f>IFERROR(__xludf.DUMMYFUNCTION("IMPORTRANGE(""https://docs.google.com/spreadsheets/d/1pCmmgCj7Y_SQPZLsiVd3yvND9oLyryVfBwNxC6OUwm8/edit#gid=170549058?usp=sharing"",""1-12每月!$L7"")"),4238.0)</f>
        <v>4238</v>
      </c>
      <c r="R7" s="83">
        <f>IFERROR(__xludf.DUMMYFUNCTION("IMPORTRANGE(""https://docs.google.com/spreadsheets/d/1hrRqxxacrLITR_JGMRVbhSRCIZIU8gAv0o_aOkHz68M/edit#gid=763155734?usp=sharing"",""1-12每月!$L7"")"),5439.0)</f>
        <v>5439</v>
      </c>
      <c r="S7" s="83">
        <f>IFERROR(__xludf.DUMMYFUNCTION("IMPORTRANGE(""https://docs.google.com/spreadsheets/d/1AKS3XWcgwNLFRbGU-lJ3UBHDQNdglvKwrv4_Bpp1IjU/edit#gid=73116376?usp=sharing"",""1-12每月!$K7"")"),5168.0)</f>
        <v>5168</v>
      </c>
      <c r="T7" s="83">
        <f>IFERROR(__xludf.DUMMYFUNCTION("IMPORTRANGE(""https://docs.google.com/spreadsheets/d/1wGGXGHkWT5JsjUDTy4FnHN_O9ae4MADbMykqIWVThNc/edit#gid=297806252?usp=sharing"",""1-12每月!$K7"")"),6962.0)</f>
        <v>6962</v>
      </c>
      <c r="U7" s="83">
        <f>IFERROR(__xludf.DUMMYFUNCTION("IMPORTRANGE(""https://docs.google.com/spreadsheets/d/1ShTgtQQDjMKpYx-TJ_lwdxnWSzJNUcNnzR3fJjoaZec/edit#gid=66107904?usp=sharing"",""1-12每月!$K7"")"),4509.0)</f>
        <v>4509</v>
      </c>
      <c r="V7" s="83">
        <f>IFERROR(__xludf.DUMMYFUNCTION("IMPORTRANGE(""https://docs.google.com/spreadsheets/d/1_eyuyKbXFCJd6fVFEKQwugwYCbRCmmWN_M7XR1dtOb8/edit#gid=951918895?usp=sharing"",""1-12每月!$K7"")"),1386.0)</f>
        <v>1386</v>
      </c>
      <c r="W7" s="83">
        <f>IFERROR(__xludf.DUMMYFUNCTION("IMPORTRANGE(""https://docs.google.com/spreadsheets/d/1yEpHI9_Y4w8sRmPP9C-mYK4NMfVuTJifGLMj4FMdqek/edit#gid=799087919?usp=sharing"",""1-12每月!$K7"")"),2132.0)</f>
        <v>2132</v>
      </c>
      <c r="X7" s="83">
        <f>IFERROR(__xludf.DUMMYFUNCTION("IMPORTRANGE(""https://docs.google.com/spreadsheets/d/1Vbyb9GlrY6jOwvoGyZFB96f7WXYjkT6gvTE37DPDXDI/edit#gid=9591526?usp=sharing"",""1-12每月!$K7"")"),1789.0)</f>
        <v>1789</v>
      </c>
      <c r="Y7" s="83">
        <f>IFERROR(__xludf.DUMMYFUNCTION("IMPORTRANGE(""https://docs.google.com/spreadsheets/d/1qeckoJwzWQAg8zQ80D-QJP4pnVYH6l2juaUyHtOu6y8/edit#gid=1905704096?usp=sharing"",""1-12每月!$K7"")"),4289.0)</f>
        <v>4289</v>
      </c>
      <c r="Z7" s="83">
        <f>IFERROR(__xludf.DUMMYFUNCTION("IMPORTRANGE(""https://docs.google.com/spreadsheets/d/1BcbIi7AD1VDpy_wMQ0YjCG-iuQy0_tkCVqr72a0Pwbg/edit#gid=1099513714?usp=sharing"",""1-12每月!$K7"")"),3651.0)</f>
        <v>3651</v>
      </c>
      <c r="AA7" s="83">
        <f>IFERROR(__xludf.DUMMYFUNCTION("IMPORTRANGE(""https://docs.google.com/spreadsheets/d/1cIFCQPaYiOmIt2O3vkEx5eto8sfRtx3JtAWJ1fv31HI/edit#gid=432689709?usp=sharing"",""1-12每月!$K7"")"),4842.0)</f>
        <v>4842</v>
      </c>
      <c r="AB7" s="83">
        <f>IFERROR(__xludf.DUMMYFUNCTION("IMPORTRANGE(""https://docs.google.com/spreadsheets/d/1C8ECYlbes2CJkHHGOAyOYVfrP7PdlGr8RMjK7KZd0_o/edit#gid=495469277?usp=sharing"",""1-12每月!$K7"")"),3792.0)</f>
        <v>3792</v>
      </c>
      <c r="AC7" s="83">
        <f>IFERROR(__xludf.DUMMYFUNCTION("IMPORTRANGE(""https://docs.google.com/spreadsheets/d/1ettcrhLPK6tkvHZxDTyU2bGIpGSi2ynG91ln0fqz9iE/edit#gid=1364213386?usp=sharing"",""1-12每月!$L7"")"),4436.0)</f>
        <v>4436</v>
      </c>
      <c r="AD7" s="83">
        <f>IFERROR(__xludf.DUMMYFUNCTION("IMPORTRANGE(""https://docs.google.com/spreadsheets/d/1xUhm-MtqzfUO8M5WEWVv9w2EFkv5_PHMOsAlA3CcCWU/edit#gid=1700470961?usp=sharing"",""1-12每月!$L7"")"),3491.0)</f>
        <v>3491</v>
      </c>
      <c r="AE7" s="83">
        <f>IFERROR(__xludf.DUMMYFUNCTION("IMPORTRANGE(""https://docs.google.com/spreadsheets/d/1DP8wl0QQLYSZ8R2aQ8wNmiAUXn7lVrqMsdTccpBmnQc/edit#gid=1145593933?usp=sharing"",""1-12每月!$L7"")"),3441.0)</f>
        <v>3441</v>
      </c>
      <c r="AF7" s="83">
        <f>IFERROR(__xludf.DUMMYFUNCTION("IMPORTRANGE(""https://docs.google.com/spreadsheets/d/17hbKAHrpKLEbG3r9s1Ay3fOGzvOBzSu3Bn_CD4JNLhY/edit#gid=756408948?usp=sharing"",""1-12每月!$L7"")"),4652.0)</f>
        <v>4652</v>
      </c>
      <c r="AG7" s="83">
        <f>IFERROR(__xludf.DUMMYFUNCTION("IMPORTRANGE(""https://docs.google.com/spreadsheets/d/1qeecSCKZ78ENQrsyUYpSNZqvo0-Y-uuGKFA1F06yLEM/edit#gid=874445072?usp=sharing"",""1-12每月!$M7"")"),4651.0)</f>
        <v>4651</v>
      </c>
      <c r="AH7" s="83">
        <f>IFERROR(__xludf.DUMMYFUNCTION("IMPORTRANGE(""https://docs.google.com/spreadsheets/d/1BSX0y1fIKw9-3VTr627UzGVjwKe74kwBkuFnvlaueNo/edit#gid=1113655470"",""1-12每月!$M7"")"),6188.0)</f>
        <v>6188</v>
      </c>
      <c r="AI7" s="83">
        <f>IFERROR(__xludf.DUMMYFUNCTION("IMPORTRANGE(""https://docs.google.com/spreadsheets/d/1bQzlrSGiVqBrfQ6FKnw67vhBELFgthonryGzmQabVFQ/edit#gid=1015697053"",""1-12每月!$M7"")"),4498.0)</f>
        <v>4498</v>
      </c>
      <c r="AJ7" s="83">
        <f>IFERROR(__xludf.DUMMYFUNCTION("IMPORTRANGE(""https://docs.google.com/spreadsheets/d/1Pem-mgCz4CF6EUKNVxDQx16g9jie0F5YNDQ_cPnMHYs"",""1-12每月!$M7"")"),4291.0)</f>
        <v>4291</v>
      </c>
      <c r="AK7" s="83">
        <f>IFERROR(__xludf.DUMMYFUNCTION("IMPORTRANGE(""https://docs.google.com/spreadsheets/d/1ZoRtUl0m9T3TpY8H-9-ntNBO_zrYrgNKuAe_XfTeFnU"",""1-12每月!$L7"")"),1087.0)</f>
        <v>1087</v>
      </c>
      <c r="AL7" s="83">
        <f>IFERROR(__xludf.DUMMYFUNCTION("IMPORTRANGE(""https://docs.google.com/spreadsheets/d/1Y9Uv46r1nA3ixCGwTWZqhGQWDt4KVX4iXmhJgHL5CGQ"",""1-12每月!$L7"")"),745.0)</f>
        <v>745</v>
      </c>
      <c r="AM7" s="83">
        <f>IFERROR(__xludf.DUMMYFUNCTION("IMPORTRANGE(""https://docs.google.com/spreadsheets/d/1E3X732-CKfouAVQOwKyrePWwI1Bwg9NHD0VD42lyiu4/edit?gid=1513765949#gid=1513765949"",""1-12每月!$L7"")"),777.0)</f>
        <v>777</v>
      </c>
      <c r="AN7" s="114"/>
      <c r="AO7" s="114"/>
      <c r="AP7" s="114"/>
      <c r="AQ7" s="114"/>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IFERROR(__xludf.DUMMYFUNCTION("IMPORTRANGE(""https://docs.google.com/spreadsheets/d/1dffLfsI-BGVz-K0zdrsWfGaqrFfoLJAhq001merp6Rk/edit?usp=sharing"",""1-12每月!$K8"")"),3519.0)</f>
        <v>3519</v>
      </c>
      <c r="N8" s="83">
        <f>IFERROR(__xludf.DUMMYFUNCTION("IMPORTRANGE(""https://docs.google.com/spreadsheets/d/1SzxpZPUDnwxS8mSOLGEH5NbWU7ZW_VcRmIn7psOvuTs/edit#gid=1650312294?usp=sharing"",""1-12每月!$K8"")"),3941.0)</f>
        <v>3941</v>
      </c>
      <c r="O8" s="83">
        <f>IFERROR(__xludf.DUMMYFUNCTION("IMPORTRANGE(""https://docs.google.com/spreadsheets/d/1ta9i7cAkOPF0LapwmU_YEDA4IPQvKNuaYVMY8vIVPwI/edit#gid=1607741572?usp=sharing"",""1-12每月!$K8"")"),2779.0)</f>
        <v>2779</v>
      </c>
      <c r="P8" s="83">
        <f>IFERROR(__xludf.DUMMYFUNCTION("IMPORTRANGE(""https://docs.google.com/spreadsheets/d/1f4WWQfcNBonYqfzcaBhJlHzPwh34sx4U6naz-Aw2G4I/edit#gid=2097425894?usp=sharing"",""1-12每月!$L8"")"),4144.0)</f>
        <v>4144</v>
      </c>
      <c r="Q8" s="83">
        <f>IFERROR(__xludf.DUMMYFUNCTION("IMPORTRANGE(""https://docs.google.com/spreadsheets/d/1pCmmgCj7Y_SQPZLsiVd3yvND9oLyryVfBwNxC6OUwm8/edit#gid=170549058?usp=sharing"",""1-12每月!$L8"")"),5977.0)</f>
        <v>5977</v>
      </c>
      <c r="R8" s="83">
        <f>IFERROR(__xludf.DUMMYFUNCTION("IMPORTRANGE(""https://docs.google.com/spreadsheets/d/1hrRqxxacrLITR_JGMRVbhSRCIZIU8gAv0o_aOkHz68M/edit#gid=763155734?usp=sharing"",""1-12每月!$L8"")"),9425.0)</f>
        <v>9425</v>
      </c>
      <c r="S8" s="83">
        <f>IFERROR(__xludf.DUMMYFUNCTION("IMPORTRANGE(""https://docs.google.com/spreadsheets/d/1AKS3XWcgwNLFRbGU-lJ3UBHDQNdglvKwrv4_Bpp1IjU/edit#gid=73116376?usp=sharing"",""1-12每月!$K8"")"),8668.0)</f>
        <v>8668</v>
      </c>
      <c r="T8" s="83">
        <f>IFERROR(__xludf.DUMMYFUNCTION("IMPORTRANGE(""https://docs.google.com/spreadsheets/d/1wGGXGHkWT5JsjUDTy4FnHN_O9ae4MADbMykqIWVThNc/edit#gid=297806252?usp=sharing"",""1-12每月!$K8"")"),10456.0)</f>
        <v>10456</v>
      </c>
      <c r="U8" s="83">
        <f>IFERROR(__xludf.DUMMYFUNCTION("IMPORTRANGE(""https://docs.google.com/spreadsheets/d/1ShTgtQQDjMKpYx-TJ_lwdxnWSzJNUcNnzR3fJjoaZec/edit#gid=66107904?usp=sharing"",""1-12每月!$K8"")"),4890.0)</f>
        <v>4890</v>
      </c>
      <c r="V8" s="83">
        <f>IFERROR(__xludf.DUMMYFUNCTION("IMPORTRANGE(""https://docs.google.com/spreadsheets/d/1_eyuyKbXFCJd6fVFEKQwugwYCbRCmmWN_M7XR1dtOb8/edit#gid=951918895?usp=sharing"",""1-12每月!$K8"")"),1147.0)</f>
        <v>1147</v>
      </c>
      <c r="W8" s="83">
        <f>IFERROR(__xludf.DUMMYFUNCTION("IMPORTRANGE(""https://docs.google.com/spreadsheets/d/1yEpHI9_Y4w8sRmPP9C-mYK4NMfVuTJifGLMj4FMdqek/edit#gid=799087919?usp=sharing"",""1-12每月!$K8"")"),2539.0)</f>
        <v>2539</v>
      </c>
      <c r="X8" s="83">
        <f>IFERROR(__xludf.DUMMYFUNCTION("IMPORTRANGE(""https://docs.google.com/spreadsheets/d/1Vbyb9GlrY6jOwvoGyZFB96f7WXYjkT6gvTE37DPDXDI/edit#gid=9591526?usp=sharing"",""1-12每月!$K8"")"),2815.0)</f>
        <v>2815</v>
      </c>
      <c r="Y8" s="83">
        <f>IFERROR(__xludf.DUMMYFUNCTION("IMPORTRANGE(""https://docs.google.com/spreadsheets/d/1qeckoJwzWQAg8zQ80D-QJP4pnVYH6l2juaUyHtOu6y8/edit#gid=1905704096?usp=sharing"",""1-12每月!$K8"")"),5431.0)</f>
        <v>5431</v>
      </c>
      <c r="Z8" s="83">
        <f>IFERROR(__xludf.DUMMYFUNCTION("IMPORTRANGE(""https://docs.google.com/spreadsheets/d/1BcbIi7AD1VDpy_wMQ0YjCG-iuQy0_tkCVqr72a0Pwbg/edit#gid=1099513714?usp=sharing"",""1-12每月!$K8"")"),3856.0)</f>
        <v>3856</v>
      </c>
      <c r="AA8" s="83">
        <f>IFERROR(__xludf.DUMMYFUNCTION("IMPORTRANGE(""https://docs.google.com/spreadsheets/d/1cIFCQPaYiOmIt2O3vkEx5eto8sfRtx3JtAWJ1fv31HI/edit#gid=432689709?usp=sharing"",""1-12每月!$K8"")"),4351.0)</f>
        <v>4351</v>
      </c>
      <c r="AB8" s="83">
        <f>IFERROR(__xludf.DUMMYFUNCTION("IMPORTRANGE(""https://docs.google.com/spreadsheets/d/1C8ECYlbes2CJkHHGOAyOYVfrP7PdlGr8RMjK7KZd0_o/edit#gid=495469277?usp=sharing"",""1-12每月!$K8"")"),6207.0)</f>
        <v>6207</v>
      </c>
      <c r="AC8" s="83">
        <f>IFERROR(__xludf.DUMMYFUNCTION("IMPORTRANGE(""https://docs.google.com/spreadsheets/d/1ettcrhLPK6tkvHZxDTyU2bGIpGSi2ynG91ln0fqz9iE/edit#gid=1364213386?usp=sharing"",""1-12每月!$L8"")"),4589.0)</f>
        <v>4589</v>
      </c>
      <c r="AD8" s="83">
        <f>IFERROR(__xludf.DUMMYFUNCTION("IMPORTRANGE(""https://docs.google.com/spreadsheets/d/1xUhm-MtqzfUO8M5WEWVv9w2EFkv5_PHMOsAlA3CcCWU/edit#gid=1700470961?usp=sharing"",""1-12每月!$L8"")"),5822.0)</f>
        <v>5822</v>
      </c>
      <c r="AE8" s="83">
        <f>IFERROR(__xludf.DUMMYFUNCTION("IMPORTRANGE(""https://docs.google.com/spreadsheets/d/1DP8wl0QQLYSZ8R2aQ8wNmiAUXn7lVrqMsdTccpBmnQc/edit#gid=1145593933?usp=sharing"",""1-12每月!$L8"")"),5837.0)</f>
        <v>5837</v>
      </c>
      <c r="AF8" s="83">
        <f>IFERROR(__xludf.DUMMYFUNCTION("IMPORTRANGE(""https://docs.google.com/spreadsheets/d/17hbKAHrpKLEbG3r9s1Ay3fOGzvOBzSu3Bn_CD4JNLhY/edit#gid=756408948?usp=sharing"",""1-12每月!$L8"")"),4249.0)</f>
        <v>4249</v>
      </c>
      <c r="AG8" s="83">
        <f>IFERROR(__xludf.DUMMYFUNCTION("IMPORTRANGE(""https://docs.google.com/spreadsheets/d/1qeecSCKZ78ENQrsyUYpSNZqvo0-Y-uuGKFA1F06yLEM/edit#gid=874445072?usp=sharing"",""1-12每月!$M8"")"),5004.0)</f>
        <v>5004</v>
      </c>
      <c r="AH8" s="83">
        <f>IFERROR(__xludf.DUMMYFUNCTION("IMPORTRANGE(""https://docs.google.com/spreadsheets/d/1BSX0y1fIKw9-3VTr627UzGVjwKe74kwBkuFnvlaueNo/edit#gid=1113655470"",""1-12每月!$M8"")"),8600.0)</f>
        <v>8600</v>
      </c>
      <c r="AI8" s="83">
        <f>IFERROR(__xludf.DUMMYFUNCTION("IMPORTRANGE(""https://docs.google.com/spreadsheets/d/1bQzlrSGiVqBrfQ6FKnw67vhBELFgthonryGzmQabVFQ/edit#gid=1015697053"",""1-12每月!$M8"")"),5268.0)</f>
        <v>5268</v>
      </c>
      <c r="AJ8" s="83">
        <f>IFERROR(__xludf.DUMMYFUNCTION("IMPORTRANGE(""https://docs.google.com/spreadsheets/d/1Pem-mgCz4CF6EUKNVxDQx16g9jie0F5YNDQ_cPnMHYs"",""1-12每月!$M8"")"),6512.0)</f>
        <v>6512</v>
      </c>
      <c r="AK8" s="83">
        <f>IFERROR(__xludf.DUMMYFUNCTION("IMPORTRANGE(""https://docs.google.com/spreadsheets/d/1ZoRtUl0m9T3TpY8H-9-ntNBO_zrYrgNKuAe_XfTeFnU"",""1-12每月!$L8"")"),78.0)</f>
        <v>78</v>
      </c>
      <c r="AL8" s="83">
        <f>IFERROR(__xludf.DUMMYFUNCTION("IMPORTRANGE(""https://docs.google.com/spreadsheets/d/1Y9Uv46r1nA3ixCGwTWZqhGQWDt4KVX4iXmhJgHL5CGQ"",""1-12每月!$L8"")"),781.0)</f>
        <v>781</v>
      </c>
      <c r="AM8" s="83">
        <f>IFERROR(__xludf.DUMMYFUNCTION("IMPORTRANGE(""https://docs.google.com/spreadsheets/d/1E3X732-CKfouAVQOwKyrePWwI1Bwg9NHD0VD42lyiu4/edit?gid=1513765949#gid=1513765949"",""1-12每月!$L8"")"),860.0)</f>
        <v>860</v>
      </c>
      <c r="AN8" s="114"/>
      <c r="AO8" s="114"/>
      <c r="AP8" s="114"/>
      <c r="AQ8" s="114"/>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IFERROR(__xludf.DUMMYFUNCTION("IMPORTRANGE(""https://docs.google.com/spreadsheets/d/1dffLfsI-BGVz-K0zdrsWfGaqrFfoLJAhq001merp6Rk/edit?usp=sharing"",""1-12每月!$K9"")"),5808.0)</f>
        <v>5808</v>
      </c>
      <c r="N9" s="83">
        <f>IFERROR(__xludf.DUMMYFUNCTION("IMPORTRANGE(""https://docs.google.com/spreadsheets/d/1SzxpZPUDnwxS8mSOLGEH5NbWU7ZW_VcRmIn7psOvuTs/edit#gid=1650312294?usp=sharing"",""1-12每月!$K9"")"),2853.0)</f>
        <v>2853</v>
      </c>
      <c r="O9" s="83">
        <f>IFERROR(__xludf.DUMMYFUNCTION("IMPORTRANGE(""https://docs.google.com/spreadsheets/d/1ta9i7cAkOPF0LapwmU_YEDA4IPQvKNuaYVMY8vIVPwI/edit#gid=1607741572?usp=sharing"",""1-12每月!$K9"")"),2113.0)</f>
        <v>2113</v>
      </c>
      <c r="P9" s="83">
        <f>IFERROR(__xludf.DUMMYFUNCTION("IMPORTRANGE(""https://docs.google.com/spreadsheets/d/1f4WWQfcNBonYqfzcaBhJlHzPwh34sx4U6naz-Aw2G4I/edit#gid=2097425894?usp=sharing"",""1-12每月!$L9"")"),4868.0)</f>
        <v>4868</v>
      </c>
      <c r="Q9" s="83">
        <f>IFERROR(__xludf.DUMMYFUNCTION("IMPORTRANGE(""https://docs.google.com/spreadsheets/d/1pCmmgCj7Y_SQPZLsiVd3yvND9oLyryVfBwNxC6OUwm8/edit#gid=170549058?usp=sharing"",""1-12每月!$L9"")"),6843.0)</f>
        <v>6843</v>
      </c>
      <c r="R9" s="83">
        <f>IFERROR(__xludf.DUMMYFUNCTION("IMPORTRANGE(""https://docs.google.com/spreadsheets/d/1hrRqxxacrLITR_JGMRVbhSRCIZIU8gAv0o_aOkHz68M/edit#gid=763155734?usp=sharing"",""1-12每月!$L9"")"),6965.0)</f>
        <v>6965</v>
      </c>
      <c r="S9" s="83">
        <f>IFERROR(__xludf.DUMMYFUNCTION("IMPORTRANGE(""https://docs.google.com/spreadsheets/d/1AKS3XWcgwNLFRbGU-lJ3UBHDQNdglvKwrv4_Bpp1IjU/edit#gid=73116376?usp=sharing"",""1-12每月!$K9"")"),8778.0)</f>
        <v>8778</v>
      </c>
      <c r="T9" s="83">
        <f>IFERROR(__xludf.DUMMYFUNCTION("IMPORTRANGE(""https://docs.google.com/spreadsheets/d/1wGGXGHkWT5JsjUDTy4FnHN_O9ae4MADbMykqIWVThNc/edit#gid=297806252?usp=sharing"",""1-12每月!$K9"")"),10220.0)</f>
        <v>10220</v>
      </c>
      <c r="U9" s="83">
        <f>IFERROR(__xludf.DUMMYFUNCTION("IMPORTRANGE(""https://docs.google.com/spreadsheets/d/1ShTgtQQDjMKpYx-TJ_lwdxnWSzJNUcNnzR3fJjoaZec/edit#gid=66107904?usp=sharing"",""1-12每月!$K9"")"),5152.0)</f>
        <v>5152</v>
      </c>
      <c r="V9" s="83">
        <f>IFERROR(__xludf.DUMMYFUNCTION("IMPORTRANGE(""https://docs.google.com/spreadsheets/d/1_eyuyKbXFCJd6fVFEKQwugwYCbRCmmWN_M7XR1dtOb8/edit#gid=951918895?usp=sharing"",""1-12每月!$K9"")"),1816.0)</f>
        <v>1816</v>
      </c>
      <c r="W9" s="83">
        <f>IFERROR(__xludf.DUMMYFUNCTION("IMPORTRANGE(""https://docs.google.com/spreadsheets/d/1yEpHI9_Y4w8sRmPP9C-mYK4NMfVuTJifGLMj4FMdqek/edit#gid=799087919?usp=sharing"",""1-12每月!$K9"")"),2801.0)</f>
        <v>2801</v>
      </c>
      <c r="X9" s="83">
        <f>IFERROR(__xludf.DUMMYFUNCTION("IMPORTRANGE(""https://docs.google.com/spreadsheets/d/1Vbyb9GlrY6jOwvoGyZFB96f7WXYjkT6gvTE37DPDXDI/edit#gid=9591526?usp=sharing"",""1-12每月!$K9"")"),2211.0)</f>
        <v>2211</v>
      </c>
      <c r="Y9" s="83">
        <f>IFERROR(__xludf.DUMMYFUNCTION("IMPORTRANGE(""https://docs.google.com/spreadsheets/d/1qeckoJwzWQAg8zQ80D-QJP4pnVYH6l2juaUyHtOu6y8/edit#gid=1905704096?usp=sharing"",""1-12每月!$K9"")"),4415.0)</f>
        <v>4415</v>
      </c>
      <c r="Z9" s="83">
        <f>IFERROR(__xludf.DUMMYFUNCTION("IMPORTRANGE(""https://docs.google.com/spreadsheets/d/1BcbIi7AD1VDpy_wMQ0YjCG-iuQy0_tkCVqr72a0Pwbg/edit#gid=1099513714?usp=sharing"",""1-12每月!$K9"")"),4585.0)</f>
        <v>4585</v>
      </c>
      <c r="AA9" s="83">
        <f>IFERROR(__xludf.DUMMYFUNCTION("IMPORTRANGE(""https://docs.google.com/spreadsheets/d/1cIFCQPaYiOmIt2O3vkEx5eto8sfRtx3JtAWJ1fv31HI/edit#gid=432689709?usp=sharing"",""1-12每月!$K9"")"),4282.0)</f>
        <v>4282</v>
      </c>
      <c r="AB9" s="83">
        <f>IFERROR(__xludf.DUMMYFUNCTION("IMPORTRANGE(""https://docs.google.com/spreadsheets/d/1C8ECYlbes2CJkHHGOAyOYVfrP7PdlGr8RMjK7KZd0_o/edit#gid=495469277?usp=sharing"",""1-12每月!$K9"")"),7050.0)</f>
        <v>7050</v>
      </c>
      <c r="AC9" s="83">
        <f>IFERROR(__xludf.DUMMYFUNCTION("IMPORTRANGE(""https://docs.google.com/spreadsheets/d/1ettcrhLPK6tkvHZxDTyU2bGIpGSi2ynG91ln0fqz9iE/edit#gid=1364213386?usp=sharing"",""1-12每月!$L9"")"),5424.0)</f>
        <v>5424</v>
      </c>
      <c r="AD9" s="83">
        <f>IFERROR(__xludf.DUMMYFUNCTION("IMPORTRANGE(""https://docs.google.com/spreadsheets/d/1xUhm-MtqzfUO8M5WEWVv9w2EFkv5_PHMOsAlA3CcCWU/edit#gid=1700470961?usp=sharing"",""1-12每月!$L9"")"),5309.0)</f>
        <v>5309</v>
      </c>
      <c r="AE9" s="83">
        <f>IFERROR(__xludf.DUMMYFUNCTION("IMPORTRANGE(""https://docs.google.com/spreadsheets/d/1DP8wl0QQLYSZ8R2aQ8wNmiAUXn7lVrqMsdTccpBmnQc/edit#gid=1145593933?usp=sharing"",""1-12每月!$L9"")"),3732.0)</f>
        <v>3732</v>
      </c>
      <c r="AF9" s="83">
        <f>IFERROR(__xludf.DUMMYFUNCTION("IMPORTRANGE(""https://docs.google.com/spreadsheets/d/17hbKAHrpKLEbG3r9s1Ay3fOGzvOBzSu3Bn_CD4JNLhY/edit#gid=756408948?usp=sharing"",""1-12每月!$L9"")"),4481.0)</f>
        <v>4481</v>
      </c>
      <c r="AG9" s="83">
        <f>IFERROR(__xludf.DUMMYFUNCTION("IMPORTRANGE(""https://docs.google.com/spreadsheets/d/1qeecSCKZ78ENQrsyUYpSNZqvo0-Y-uuGKFA1F06yLEM/edit#gid=874445072?usp=sharing"",""1-12每月!$M9"")"),3253.0)</f>
        <v>3253</v>
      </c>
      <c r="AH9" s="83">
        <f>IFERROR(__xludf.DUMMYFUNCTION("IMPORTRANGE(""https://docs.google.com/spreadsheets/d/1BSX0y1fIKw9-3VTr627UzGVjwKe74kwBkuFnvlaueNo/edit#gid=1113655470"",""1-12每月!$M9"")"),4354.0)</f>
        <v>4354</v>
      </c>
      <c r="AI9" s="83">
        <f>IFERROR(__xludf.DUMMYFUNCTION("IMPORTRANGE(""https://docs.google.com/spreadsheets/d/1bQzlrSGiVqBrfQ6FKnw67vhBELFgthonryGzmQabVFQ/edit#gid=1015697053"",""1-12每月!$M9"")"),3494.0)</f>
        <v>3494</v>
      </c>
      <c r="AJ9" s="83">
        <f>IFERROR(__xludf.DUMMYFUNCTION("IMPORTRANGE(""https://docs.google.com/spreadsheets/d/1Pem-mgCz4CF6EUKNVxDQx16g9jie0F5YNDQ_cPnMHYs"",""1-12每月!$M9"")"),6140.0)</f>
        <v>6140</v>
      </c>
      <c r="AK9" s="83">
        <f>IFERROR(__xludf.DUMMYFUNCTION("IMPORTRANGE(""https://docs.google.com/spreadsheets/d/1ZoRtUl0m9T3TpY8H-9-ntNBO_zrYrgNKuAe_XfTeFnU"",""1-12每月!$L9"")"),0.0)</f>
        <v>0</v>
      </c>
      <c r="AL9" s="83">
        <f>IFERROR(__xludf.DUMMYFUNCTION("IMPORTRANGE(""https://docs.google.com/spreadsheets/d/1Y9Uv46r1nA3ixCGwTWZqhGQWDt4KVX4iXmhJgHL5CGQ"",""1-12每月!$L9"")"),730.0)</f>
        <v>730</v>
      </c>
      <c r="AM9" s="83">
        <f>IFERROR(__xludf.DUMMYFUNCTION("IMPORTRANGE(""https://docs.google.com/spreadsheets/d/1E3X732-CKfouAVQOwKyrePWwI1Bwg9NHD0VD42lyiu4/edit?gid=1513765949#gid=1513765949"",""1-12每月!$L9"")"),837.0)</f>
        <v>837</v>
      </c>
      <c r="AN9" s="114"/>
      <c r="AO9" s="114"/>
      <c r="AP9" s="114"/>
      <c r="AQ9" s="114"/>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IFERROR(__xludf.DUMMYFUNCTION("IMPORTRANGE(""https://docs.google.com/spreadsheets/d/1dffLfsI-BGVz-K0zdrsWfGaqrFfoLJAhq001merp6Rk/edit?usp=sharing"",""1-12每月!$K10"")"),8680.0)</f>
        <v>8680</v>
      </c>
      <c r="N10" s="83">
        <f>IFERROR(__xludf.DUMMYFUNCTION("IMPORTRANGE(""https://docs.google.com/spreadsheets/d/1SzxpZPUDnwxS8mSOLGEH5NbWU7ZW_VcRmIn7psOvuTs/edit#gid=1650312294?usp=sharing"",""1-12每月!$K10"")"),4772.0)</f>
        <v>4772</v>
      </c>
      <c r="O10" s="83">
        <f>IFERROR(__xludf.DUMMYFUNCTION("IMPORTRANGE(""https://docs.google.com/spreadsheets/d/1ta9i7cAkOPF0LapwmU_YEDA4IPQvKNuaYVMY8vIVPwI/edit#gid=1607741572?usp=sharing"",""1-12每月!$K10"")"),4502.0)</f>
        <v>4502</v>
      </c>
      <c r="P10" s="83">
        <f>IFERROR(__xludf.DUMMYFUNCTION("IMPORTRANGE(""https://docs.google.com/spreadsheets/d/1f4WWQfcNBonYqfzcaBhJlHzPwh34sx4U6naz-Aw2G4I/edit#gid=2097425894?usp=sharing"",""1-12每月!$L10"")"),5199.0)</f>
        <v>5199</v>
      </c>
      <c r="Q10" s="83">
        <f>IFERROR(__xludf.DUMMYFUNCTION("IMPORTRANGE(""https://docs.google.com/spreadsheets/d/1pCmmgCj7Y_SQPZLsiVd3yvND9oLyryVfBwNxC6OUwm8/edit#gid=170549058?usp=sharing"",""1-12每月!$L10"")"),5849.0)</f>
        <v>5849</v>
      </c>
      <c r="R10" s="83">
        <f>IFERROR(__xludf.DUMMYFUNCTION("IMPORTRANGE(""https://docs.google.com/spreadsheets/d/1hrRqxxacrLITR_JGMRVbhSRCIZIU8gAv0o_aOkHz68M/edit#gid=763155734?usp=sharing"",""1-12每月!$L10"")"),7675.0)</f>
        <v>7675</v>
      </c>
      <c r="S10" s="83">
        <f>IFERROR(__xludf.DUMMYFUNCTION("IMPORTRANGE(""https://docs.google.com/spreadsheets/d/1AKS3XWcgwNLFRbGU-lJ3UBHDQNdglvKwrv4_Bpp1IjU/edit#gid=73116376?usp=sharing"",""1-12每月!$K10"")"),7949.0)</f>
        <v>7949</v>
      </c>
      <c r="T10" s="83">
        <f>IFERROR(__xludf.DUMMYFUNCTION("IMPORTRANGE(""https://docs.google.com/spreadsheets/d/1wGGXGHkWT5JsjUDTy4FnHN_O9ae4MADbMykqIWVThNc/edit#gid=297806252?usp=sharing"",""1-12每月!$K10"")"),12262.0)</f>
        <v>12262</v>
      </c>
      <c r="U10" s="83">
        <f>IFERROR(__xludf.DUMMYFUNCTION("IMPORTRANGE(""https://docs.google.com/spreadsheets/d/1ShTgtQQDjMKpYx-TJ_lwdxnWSzJNUcNnzR3fJjoaZec/edit#gid=66107904?usp=sharing"",""1-12每月!$K10"")"),4262.0)</f>
        <v>4262</v>
      </c>
      <c r="V10" s="83">
        <f>IFERROR(__xludf.DUMMYFUNCTION("IMPORTRANGE(""https://docs.google.com/spreadsheets/d/1_eyuyKbXFCJd6fVFEKQwugwYCbRCmmWN_M7XR1dtOb8/edit#gid=951918895?usp=sharing"",""1-12每月!$K10"")"),1502.0)</f>
        <v>1502</v>
      </c>
      <c r="W10" s="83">
        <f>IFERROR(__xludf.DUMMYFUNCTION("IMPORTRANGE(""https://docs.google.com/spreadsheets/d/1yEpHI9_Y4w8sRmPP9C-mYK4NMfVuTJifGLMj4FMdqek/edit#gid=799087919?usp=sharing"",""1-12每月!$K10"")"),2675.0)</f>
        <v>2675</v>
      </c>
      <c r="X10" s="83">
        <f>IFERROR(__xludf.DUMMYFUNCTION("IMPORTRANGE(""https://docs.google.com/spreadsheets/d/1Vbyb9GlrY6jOwvoGyZFB96f7WXYjkT6gvTE37DPDXDI/edit#gid=9591526?usp=sharing"",""1-12每月!$K10"")"),3413.0)</f>
        <v>3413</v>
      </c>
      <c r="Y10" s="83">
        <f>IFERROR(__xludf.DUMMYFUNCTION("IMPORTRANGE(""https://docs.google.com/spreadsheets/d/1qeckoJwzWQAg8zQ80D-QJP4pnVYH6l2juaUyHtOu6y8/edit#gid=1905704096?usp=sharing"",""1-12每月!$K10"")"),4711.0)</f>
        <v>4711</v>
      </c>
      <c r="Z10" s="83">
        <f>IFERROR(__xludf.DUMMYFUNCTION("IMPORTRANGE(""https://docs.google.com/spreadsheets/d/1BcbIi7AD1VDpy_wMQ0YjCG-iuQy0_tkCVqr72a0Pwbg/edit#gid=1099513714?usp=sharing"",""1-12每月!$K10"")"),5778.0)</f>
        <v>5778</v>
      </c>
      <c r="AA10" s="83">
        <f>IFERROR(__xludf.DUMMYFUNCTION("IMPORTRANGE(""https://docs.google.com/spreadsheets/d/1cIFCQPaYiOmIt2O3vkEx5eto8sfRtx3JtAWJ1fv31HI/edit#gid=432689709?usp=sharing"",""1-12每月!$K10"")"),5000.0)</f>
        <v>5000</v>
      </c>
      <c r="AB10" s="83">
        <f>IFERROR(__xludf.DUMMYFUNCTION("IMPORTRANGE(""https://docs.google.com/spreadsheets/d/1C8ECYlbes2CJkHHGOAyOYVfrP7PdlGr8RMjK7KZd0_o/edit#gid=495469277?usp=sharing"",""1-12每月!$K10"")"),4699.0)</f>
        <v>4699</v>
      </c>
      <c r="AC10" s="83">
        <f>IFERROR(__xludf.DUMMYFUNCTION("IMPORTRANGE(""https://docs.google.com/spreadsheets/d/1ettcrhLPK6tkvHZxDTyU2bGIpGSi2ynG91ln0fqz9iE/edit#gid=1364213386?usp=sharing"",""1-12每月!$L10"")"),5913.0)</f>
        <v>5913</v>
      </c>
      <c r="AD10" s="83">
        <f>IFERROR(__xludf.DUMMYFUNCTION("IMPORTRANGE(""https://docs.google.com/spreadsheets/d/1xUhm-MtqzfUO8M5WEWVv9w2EFkv5_PHMOsAlA3CcCWU/edit#gid=1700470961?usp=sharing"",""1-12每月!$L10"")"),3897.0)</f>
        <v>3897</v>
      </c>
      <c r="AE10" s="83">
        <f>IFERROR(__xludf.DUMMYFUNCTION("IMPORTRANGE(""https://docs.google.com/spreadsheets/d/1DP8wl0QQLYSZ8R2aQ8wNmiAUXn7lVrqMsdTccpBmnQc/edit#gid=1145593933?usp=sharing"",""1-12每月!$L10"")"),4549.0)</f>
        <v>4549</v>
      </c>
      <c r="AF10" s="83">
        <f>IFERROR(__xludf.DUMMYFUNCTION("IMPORTRANGE(""https://docs.google.com/spreadsheets/d/17hbKAHrpKLEbG3r9s1Ay3fOGzvOBzSu3Bn_CD4JNLhY/edit#gid=756408948?usp=sharing"",""1-12每月!$L10"")"),3905.0)</f>
        <v>3905</v>
      </c>
      <c r="AG10" s="83">
        <f>IFERROR(__xludf.DUMMYFUNCTION("IMPORTRANGE(""https://docs.google.com/spreadsheets/d/1qeecSCKZ78ENQrsyUYpSNZqvo0-Y-uuGKFA1F06yLEM/edit#gid=874445072?usp=sharing"",""1-12每月!$M10"")"),4074.0)</f>
        <v>4074</v>
      </c>
      <c r="AH10" s="83">
        <f>IFERROR(__xludf.DUMMYFUNCTION("IMPORTRANGE(""https://docs.google.com/spreadsheets/d/1BSX0y1fIKw9-3VTr627UzGVjwKe74kwBkuFnvlaueNo/edit#gid=1113655470"",""1-12每月!$M10"")"),0.0)</f>
        <v>0</v>
      </c>
      <c r="AI10" s="83">
        <f>IFERROR(__xludf.DUMMYFUNCTION("IMPORTRANGE(""https://docs.google.com/spreadsheets/d/1bQzlrSGiVqBrfQ6FKnw67vhBELFgthonryGzmQabVFQ/edit#gid=1015697053"",""1-12每月!$M10"")"),3843.0)</f>
        <v>3843</v>
      </c>
      <c r="AJ10" s="83">
        <f>IFERROR(__xludf.DUMMYFUNCTION("IMPORTRANGE(""https://docs.google.com/spreadsheets/d/1Pem-mgCz4CF6EUKNVxDQx16g9jie0F5YNDQ_cPnMHYs"",""1-12每月!$M10"")"),6620.0)</f>
        <v>6620</v>
      </c>
      <c r="AK10" s="83">
        <f>IFERROR(__xludf.DUMMYFUNCTION("IMPORTRANGE(""https://docs.google.com/spreadsheets/d/1ZoRtUl0m9T3TpY8H-9-ntNBO_zrYrgNKuAe_XfTeFnU"",""1-12每月!$L10"")"),0.0)</f>
        <v>0</v>
      </c>
      <c r="AL10" s="83">
        <f>IFERROR(__xludf.DUMMYFUNCTION("IMPORTRANGE(""https://docs.google.com/spreadsheets/d/1Y9Uv46r1nA3ixCGwTWZqhGQWDt4KVX4iXmhJgHL5CGQ"",""1-12每月!$L10"")"),798.0)</f>
        <v>798</v>
      </c>
      <c r="AM10" s="83">
        <f>IFERROR(__xludf.DUMMYFUNCTION("IMPORTRANGE(""https://docs.google.com/spreadsheets/d/1E3X732-CKfouAVQOwKyrePWwI1Bwg9NHD0VD42lyiu4/edit?gid=1513765949#gid=1513765949"",""1-12每月!$L10"")"),702.0)</f>
        <v>702</v>
      </c>
      <c r="AN10" s="115"/>
      <c r="AO10" s="115"/>
      <c r="AP10" s="115"/>
      <c r="AQ10" s="115"/>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IFERROR(__xludf.DUMMYFUNCTION("IMPORTRANGE(""https://docs.google.com/spreadsheets/d/1dffLfsI-BGVz-K0zdrsWfGaqrFfoLJAhq001merp6Rk/edit?usp=sharing"",""1-12每月!$K11"")"),9351.0)</f>
        <v>9351</v>
      </c>
      <c r="N11" s="83">
        <f>IFERROR(__xludf.DUMMYFUNCTION("IMPORTRANGE(""https://docs.google.com/spreadsheets/d/1SzxpZPUDnwxS8mSOLGEH5NbWU7ZW_VcRmIn7psOvuTs/edit#gid=1650312294?usp=sharing"",""1-12每月!$K11"")"),6516.0)</f>
        <v>6516</v>
      </c>
      <c r="O11" s="83">
        <f>IFERROR(__xludf.DUMMYFUNCTION("IMPORTRANGE(""https://docs.google.com/spreadsheets/d/1ta9i7cAkOPF0LapwmU_YEDA4IPQvKNuaYVMY8vIVPwI/edit#gid=1607741572?usp=sharing"",""1-12每月!$K11"")"),6396.0)</f>
        <v>6396</v>
      </c>
      <c r="P11" s="83">
        <f>IFERROR(__xludf.DUMMYFUNCTION("IMPORTRANGE(""https://docs.google.com/spreadsheets/d/1f4WWQfcNBonYqfzcaBhJlHzPwh34sx4U6naz-Aw2G4I/edit#gid=2097425894?usp=sharing"",""1-12每月!$L11"")"),8288.0)</f>
        <v>8288</v>
      </c>
      <c r="Q11" s="83">
        <f>IFERROR(__xludf.DUMMYFUNCTION("IMPORTRANGE(""https://docs.google.com/spreadsheets/d/1pCmmgCj7Y_SQPZLsiVd3yvND9oLyryVfBwNxC6OUwm8/edit#gid=170549058?usp=sharing"",""1-12每月!$L11"")"),7046.0)</f>
        <v>7046</v>
      </c>
      <c r="R11" s="83">
        <f>IFERROR(__xludf.DUMMYFUNCTION("IMPORTRANGE(""https://docs.google.com/spreadsheets/d/1hrRqxxacrLITR_JGMRVbhSRCIZIU8gAv0o_aOkHz68M/edit#gid=763155734?usp=sharing"",""1-12每月!$L11"")"),13656.0)</f>
        <v>13656</v>
      </c>
      <c r="S11" s="83">
        <f>IFERROR(__xludf.DUMMYFUNCTION("IMPORTRANGE(""https://docs.google.com/spreadsheets/d/1AKS3XWcgwNLFRbGU-lJ3UBHDQNdglvKwrv4_Bpp1IjU/edit#gid=73116376?usp=sharing"",""1-12每月!$K11"")"),11770.0)</f>
        <v>11770</v>
      </c>
      <c r="T11" s="83">
        <f>IFERROR(__xludf.DUMMYFUNCTION("IMPORTRANGE(""https://docs.google.com/spreadsheets/d/1wGGXGHkWT5JsjUDTy4FnHN_O9ae4MADbMykqIWVThNc/edit#gid=297806252?usp=sharing"",""1-12每月!$K11"")"),17025.0)</f>
        <v>17025</v>
      </c>
      <c r="U11" s="83">
        <f>IFERROR(__xludf.DUMMYFUNCTION("IMPORTRANGE(""https://docs.google.com/spreadsheets/d/1ShTgtQQDjMKpYx-TJ_lwdxnWSzJNUcNnzR3fJjoaZec/edit#gid=66107904?usp=sharing"",""1-12每月!$K11"")"),6092.0)</f>
        <v>6092</v>
      </c>
      <c r="V11" s="83">
        <f>IFERROR(__xludf.DUMMYFUNCTION("IMPORTRANGE(""https://docs.google.com/spreadsheets/d/1_eyuyKbXFCJd6fVFEKQwugwYCbRCmmWN_M7XR1dtOb8/edit#gid=951918895?usp=sharing"",""1-12每月!$K11"")"),1826.0)</f>
        <v>1826</v>
      </c>
      <c r="W11" s="83">
        <f>IFERROR(__xludf.DUMMYFUNCTION("IMPORTRANGE(""https://docs.google.com/spreadsheets/d/1yEpHI9_Y4w8sRmPP9C-mYK4NMfVuTJifGLMj4FMdqek/edit#gid=799087919?usp=sharing"",""1-12每月!$K11"")"),4691.0)</f>
        <v>4691</v>
      </c>
      <c r="X11" s="83">
        <f>IFERROR(__xludf.DUMMYFUNCTION("IMPORTRANGE(""https://docs.google.com/spreadsheets/d/1Vbyb9GlrY6jOwvoGyZFB96f7WXYjkT6gvTE37DPDXDI/edit#gid=9591526?usp=sharing"",""1-12每月!$K11"")"),4486.0)</f>
        <v>4486</v>
      </c>
      <c r="Y11" s="83">
        <f>IFERROR(__xludf.DUMMYFUNCTION("IMPORTRANGE(""https://docs.google.com/spreadsheets/d/1qeckoJwzWQAg8zQ80D-QJP4pnVYH6l2juaUyHtOu6y8/edit#gid=1905704096?usp=sharing"",""1-12每月!$K11"")"),7677.0)</f>
        <v>7677</v>
      </c>
      <c r="Z11" s="83">
        <f>IFERROR(__xludf.DUMMYFUNCTION("IMPORTRANGE(""https://docs.google.com/spreadsheets/d/1BcbIi7AD1VDpy_wMQ0YjCG-iuQy0_tkCVqr72a0Pwbg/edit#gid=1099513714?usp=sharing"",""1-12每月!$K11"")"),6081.0)</f>
        <v>6081</v>
      </c>
      <c r="AA11" s="83">
        <f>IFERROR(__xludf.DUMMYFUNCTION("IMPORTRANGE(""https://docs.google.com/spreadsheets/d/1cIFCQPaYiOmIt2O3vkEx5eto8sfRtx3JtAWJ1fv31HI/edit#gid=432689709?usp=sharing"",""1-12每月!$K11"")"),7434.0)</f>
        <v>7434</v>
      </c>
      <c r="AB11" s="83">
        <f>IFERROR(__xludf.DUMMYFUNCTION("IMPORTRANGE(""https://docs.google.com/spreadsheets/d/1C8ECYlbes2CJkHHGOAyOYVfrP7PdlGr8RMjK7KZd0_o/edit#gid=495469277?usp=sharing"",""1-12每月!$K11"")"),7025.0)</f>
        <v>7025</v>
      </c>
      <c r="AC11" s="83">
        <f>IFERROR(__xludf.DUMMYFUNCTION("IMPORTRANGE(""https://docs.google.com/spreadsheets/d/1ettcrhLPK6tkvHZxDTyU2bGIpGSi2ynG91ln0fqz9iE/edit#gid=1364213386?usp=sharing"",""1-12每月!$L11"")"),4464.0)</f>
        <v>4464</v>
      </c>
      <c r="AD11" s="83">
        <f>IFERROR(__xludf.DUMMYFUNCTION("IMPORTRANGE(""https://docs.google.com/spreadsheets/d/1xUhm-MtqzfUO8M5WEWVv9w2EFkv5_PHMOsAlA3CcCWU/edit#gid=1700470961?usp=sharing"",""1-12每月!$L11"")"),6332.0)</f>
        <v>6332</v>
      </c>
      <c r="AE11" s="83">
        <f>IFERROR(__xludf.DUMMYFUNCTION("IMPORTRANGE(""https://docs.google.com/spreadsheets/d/1DP8wl0QQLYSZ8R2aQ8wNmiAUXn7lVrqMsdTccpBmnQc/edit#gid=1145593933?usp=sharing"",""1-12每月!$L11"")"),4189.0)</f>
        <v>4189</v>
      </c>
      <c r="AF11" s="83">
        <f>IFERROR(__xludf.DUMMYFUNCTION("IMPORTRANGE(""https://docs.google.com/spreadsheets/d/17hbKAHrpKLEbG3r9s1Ay3fOGzvOBzSu3Bn_CD4JNLhY/edit#gid=756408948?usp=sharing"",""1-12每月!$L11"")"),4328.0)</f>
        <v>4328</v>
      </c>
      <c r="AG11" s="83">
        <f>IFERROR(__xludf.DUMMYFUNCTION("IMPORTRANGE(""https://docs.google.com/spreadsheets/d/1qeecSCKZ78ENQrsyUYpSNZqvo0-Y-uuGKFA1F06yLEM/edit#gid=874445072?usp=sharing"",""1-12每月!$M11"")"),6144.0)</f>
        <v>6144</v>
      </c>
      <c r="AH11" s="83">
        <f>IFERROR(__xludf.DUMMYFUNCTION("IMPORTRANGE(""https://docs.google.com/spreadsheets/d/1BSX0y1fIKw9-3VTr627UzGVjwKe74kwBkuFnvlaueNo/edit#gid=1113655470"",""1-12每月!$M11"")"),1524.0)</f>
        <v>1524</v>
      </c>
      <c r="AI11" s="83">
        <f>IFERROR(__xludf.DUMMYFUNCTION("IMPORTRANGE(""https://docs.google.com/spreadsheets/d/1bQzlrSGiVqBrfQ6FKnw67vhBELFgthonryGzmQabVFQ/edit#gid=1015697053"",""1-12每月!$M11"")"),6368.0)</f>
        <v>6368</v>
      </c>
      <c r="AJ11" s="83">
        <f>IFERROR(__xludf.DUMMYFUNCTION("IMPORTRANGE(""https://docs.google.com/spreadsheets/d/1Pem-mgCz4CF6EUKNVxDQx16g9jie0F5YNDQ_cPnMHYs"",""1-12每月!$M11"")"),7340.0)</f>
        <v>7340</v>
      </c>
      <c r="AK11" s="83">
        <f>IFERROR(__xludf.DUMMYFUNCTION("IMPORTRANGE(""https://docs.google.com/spreadsheets/d/1ZoRtUl0m9T3TpY8H-9-ntNBO_zrYrgNKuAe_XfTeFnU"",""1-12每月!$L11"")"),0.0)</f>
        <v>0</v>
      </c>
      <c r="AL11" s="83">
        <f>IFERROR(__xludf.DUMMYFUNCTION("IMPORTRANGE(""https://docs.google.com/spreadsheets/d/1Y9Uv46r1nA3ixCGwTWZqhGQWDt4KVX4iXmhJgHL5CGQ"",""1-12每月!$L11"")"),1123.0)</f>
        <v>1123</v>
      </c>
      <c r="AM11" s="83">
        <f>IFERROR(__xludf.DUMMYFUNCTION("IMPORTRANGE(""https://docs.google.com/spreadsheets/d/1E3X732-CKfouAVQOwKyrePWwI1Bwg9NHD0VD42lyiu4/edit?gid=1513765949#gid=1513765949"",""1-12每月!$L11"")"),0.0)</f>
        <v>0</v>
      </c>
      <c r="AN11" s="115"/>
      <c r="AO11" s="115"/>
      <c r="AP11" s="115"/>
      <c r="AQ11" s="115"/>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IFERROR(__xludf.DUMMYFUNCTION("IMPORTRANGE(""https://docs.google.com/spreadsheets/d/1dffLfsI-BGVz-K0zdrsWfGaqrFfoLJAhq001merp6Rk/edit?usp=sharing"",""1-12每月!$K12"")"),9707.0)</f>
        <v>9707</v>
      </c>
      <c r="N12" s="83">
        <f>IFERROR(__xludf.DUMMYFUNCTION("IMPORTRANGE(""https://docs.google.com/spreadsheets/d/1SzxpZPUDnwxS8mSOLGEH5NbWU7ZW_VcRmIn7psOvuTs/edit#gid=1650312294?usp=sharing"",""1-12每月!$K12"")"),9205.0)</f>
        <v>9205</v>
      </c>
      <c r="O12" s="83">
        <f>IFERROR(__xludf.DUMMYFUNCTION("IMPORTRANGE(""https://docs.google.com/spreadsheets/d/1ta9i7cAkOPF0LapwmU_YEDA4IPQvKNuaYVMY8vIVPwI/edit#gid=1607741572?usp=sharing"",""1-12每月!$K12"")"),6418.0)</f>
        <v>6418</v>
      </c>
      <c r="P12" s="83">
        <f>IFERROR(__xludf.DUMMYFUNCTION("IMPORTRANGE(""https://docs.google.com/spreadsheets/d/1f4WWQfcNBonYqfzcaBhJlHzPwh34sx4U6naz-Aw2G4I/edit#gid=2097425894?usp=sharing"",""1-12每月!$L12"")"),8746.0)</f>
        <v>8746</v>
      </c>
      <c r="Q12" s="83">
        <f>IFERROR(__xludf.DUMMYFUNCTION("IMPORTRANGE(""https://docs.google.com/spreadsheets/d/1pCmmgCj7Y_SQPZLsiVd3yvND9oLyryVfBwNxC6OUwm8/edit#gid=170549058?usp=sharing"",""1-12每月!$L12"")"),7178.0)</f>
        <v>7178</v>
      </c>
      <c r="R12" s="83">
        <f>IFERROR(__xludf.DUMMYFUNCTION("IMPORTRANGE(""https://docs.google.com/spreadsheets/d/1hrRqxxacrLITR_JGMRVbhSRCIZIU8gAv0o_aOkHz68M/edit#gid=763155734?usp=sharing"",""1-12每月!$L12"")"),11987.0)</f>
        <v>11987</v>
      </c>
      <c r="S12" s="83">
        <f>IFERROR(__xludf.DUMMYFUNCTION("IMPORTRANGE(""https://docs.google.com/spreadsheets/d/1AKS3XWcgwNLFRbGU-lJ3UBHDQNdglvKwrv4_Bpp1IjU/edit#gid=73116376?usp=sharing"",""1-12每月!$K12"")"),11761.0)</f>
        <v>11761</v>
      </c>
      <c r="T12" s="83">
        <f>IFERROR(__xludf.DUMMYFUNCTION("IMPORTRANGE(""https://docs.google.com/spreadsheets/d/1wGGXGHkWT5JsjUDTy4FnHN_O9ae4MADbMykqIWVThNc/edit#gid=297806252?usp=sharing"",""1-12每月!$K12"")"),12983.0)</f>
        <v>12983</v>
      </c>
      <c r="U12" s="83">
        <f>IFERROR(__xludf.DUMMYFUNCTION("IMPORTRANGE(""https://docs.google.com/spreadsheets/d/1ShTgtQQDjMKpYx-TJ_lwdxnWSzJNUcNnzR3fJjoaZec/edit#gid=66107904?usp=sharing"",""1-12每月!$K12"")"),5068.0)</f>
        <v>5068</v>
      </c>
      <c r="V12" s="83">
        <f>IFERROR(__xludf.DUMMYFUNCTION("IMPORTRANGE(""https://docs.google.com/spreadsheets/d/1_eyuyKbXFCJd6fVFEKQwugwYCbRCmmWN_M7XR1dtOb8/edit#gid=951918895?usp=sharing"",""1-12每月!$K12"")"),1995.0)</f>
        <v>1995</v>
      </c>
      <c r="W12" s="83">
        <f>IFERROR(__xludf.DUMMYFUNCTION("IMPORTRANGE(""https://docs.google.com/spreadsheets/d/1yEpHI9_Y4w8sRmPP9C-mYK4NMfVuTJifGLMj4FMdqek/edit#gid=799087919?usp=sharing"",""1-12每月!$K12"")"),4331.0)</f>
        <v>4331</v>
      </c>
      <c r="X12" s="83">
        <f>IFERROR(__xludf.DUMMYFUNCTION("IMPORTRANGE(""https://docs.google.com/spreadsheets/d/1Vbyb9GlrY6jOwvoGyZFB96f7WXYjkT6gvTE37DPDXDI/edit#gid=9591526?usp=sharing"",""1-12每月!$K12"")"),4961.0)</f>
        <v>4961</v>
      </c>
      <c r="Y12" s="83">
        <f>IFERROR(__xludf.DUMMYFUNCTION("IMPORTRANGE(""https://docs.google.com/spreadsheets/d/1qeckoJwzWQAg8zQ80D-QJP4pnVYH6l2juaUyHtOu6y8/edit#gid=1905704096?usp=sharing"",""1-12每月!$K12"")"),4880.0)</f>
        <v>4880</v>
      </c>
      <c r="Z12" s="83">
        <f>IFERROR(__xludf.DUMMYFUNCTION("IMPORTRANGE(""https://docs.google.com/spreadsheets/d/1BcbIi7AD1VDpy_wMQ0YjCG-iuQy0_tkCVqr72a0Pwbg/edit#gid=1099513714?usp=sharing"",""1-12每月!$K12"")"),5121.0)</f>
        <v>5121</v>
      </c>
      <c r="AA12" s="83">
        <f>IFERROR(__xludf.DUMMYFUNCTION("IMPORTRANGE(""https://docs.google.com/spreadsheets/d/1cIFCQPaYiOmIt2O3vkEx5eto8sfRtx3JtAWJ1fv31HI/edit#gid=432689709?usp=sharing"",""1-12每月!$K12"")"),6621.0)</f>
        <v>6621</v>
      </c>
      <c r="AB12" s="83">
        <f>IFERROR(__xludf.DUMMYFUNCTION("IMPORTRANGE(""https://docs.google.com/spreadsheets/d/1C8ECYlbes2CJkHHGOAyOYVfrP7PdlGr8RMjK7KZd0_o/edit#gid=495469277?usp=sharing"",""1-12每月!$K12"")"),5756.0)</f>
        <v>5756</v>
      </c>
      <c r="AC12" s="83">
        <f>IFERROR(__xludf.DUMMYFUNCTION("IMPORTRANGE(""https://docs.google.com/spreadsheets/d/1ettcrhLPK6tkvHZxDTyU2bGIpGSi2ynG91ln0fqz9iE/edit#gid=1364213386?usp=sharing"",""1-12每月!$L12"")"),4724.0)</f>
        <v>4724</v>
      </c>
      <c r="AD12" s="83">
        <f>IFERROR(__xludf.DUMMYFUNCTION("IMPORTRANGE(""https://docs.google.com/spreadsheets/d/1xUhm-MtqzfUO8M5WEWVv9w2EFkv5_PHMOsAlA3CcCWU/edit#gid=1700470961?usp=sharing"",""1-12每月!$L12"")"),5862.0)</f>
        <v>5862</v>
      </c>
      <c r="AE12" s="83">
        <f>IFERROR(__xludf.DUMMYFUNCTION("IMPORTRANGE(""https://docs.google.com/spreadsheets/d/1DP8wl0QQLYSZ8R2aQ8wNmiAUXn7lVrqMsdTccpBmnQc/edit#gid=1145593933?usp=sharing"",""1-12每月!$L12"")"),3922.0)</f>
        <v>3922</v>
      </c>
      <c r="AF12" s="83">
        <f>IFERROR(__xludf.DUMMYFUNCTION("IMPORTRANGE(""https://docs.google.com/spreadsheets/d/17hbKAHrpKLEbG3r9s1Ay3fOGzvOBzSu3Bn_CD4JNLhY/edit#gid=756408948?usp=sharing"",""1-12每月!$L12"")"),3941.0)</f>
        <v>3941</v>
      </c>
      <c r="AG12" s="83">
        <f>IFERROR(__xludf.DUMMYFUNCTION("IMPORTRANGE(""https://docs.google.com/spreadsheets/d/1qeecSCKZ78ENQrsyUYpSNZqvo0-Y-uuGKFA1F06yLEM/edit#gid=874445072?usp=sharing"",""1-12每月!$M12"")"),7279.0)</f>
        <v>7279</v>
      </c>
      <c r="AH12" s="83">
        <f>IFERROR(__xludf.DUMMYFUNCTION("IMPORTRANGE(""https://docs.google.com/spreadsheets/d/1BSX0y1fIKw9-3VTr627UzGVjwKe74kwBkuFnvlaueNo/edit#gid=1113655470"",""1-12每月!$M12"")"),6473.0)</f>
        <v>6473</v>
      </c>
      <c r="AI12" s="83">
        <f>IFERROR(__xludf.DUMMYFUNCTION("IMPORTRANGE(""https://docs.google.com/spreadsheets/d/1bQzlrSGiVqBrfQ6FKnw67vhBELFgthonryGzmQabVFQ/edit#gid=1015697053"",""1-12每月!$M12"")"),8310.0)</f>
        <v>8310</v>
      </c>
      <c r="AJ12" s="83">
        <f>IFERROR(__xludf.DUMMYFUNCTION("IMPORTRANGE(""https://docs.google.com/spreadsheets/d/1Pem-mgCz4CF6EUKNVxDQx16g9jie0F5YNDQ_cPnMHYs"",""1-12每月!$M12"")"),6617.0)</f>
        <v>6617</v>
      </c>
      <c r="AK12" s="83">
        <f>IFERROR(__xludf.DUMMYFUNCTION("IMPORTRANGE(""https://docs.google.com/spreadsheets/d/1ZoRtUl0m9T3TpY8H-9-ntNBO_zrYrgNKuAe_XfTeFnU"",""1-12每月!$L12"")"),1071.0)</f>
        <v>1071</v>
      </c>
      <c r="AL12" s="83">
        <f>IFERROR(__xludf.DUMMYFUNCTION("IMPORTRANGE(""https://docs.google.com/spreadsheets/d/1Y9Uv46r1nA3ixCGwTWZqhGQWDt4KVX4iXmhJgHL5CGQ"",""1-12每月!$L12"")"),1357.0)</f>
        <v>1357</v>
      </c>
      <c r="AM12" s="83">
        <f>IFERROR(__xludf.DUMMYFUNCTION("IMPORTRANGE(""https://docs.google.com/spreadsheets/d/1E3X732-CKfouAVQOwKyrePWwI1Bwg9NHD0VD42lyiu4/edit?gid=1513765949#gid=1513765949"",""1-12每月!$L12"")"),0.0)</f>
        <v>0</v>
      </c>
      <c r="AN12" s="115"/>
      <c r="AO12" s="115"/>
      <c r="AP12" s="115"/>
      <c r="AQ12" s="115"/>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IFERROR(__xludf.DUMMYFUNCTION("IMPORTRANGE(""https://docs.google.com/spreadsheets/d/1dffLfsI-BGVz-K0zdrsWfGaqrFfoLJAhq001merp6Rk/edit?usp=sharing"",""1-12每月!$K13"")"),5429.0)</f>
        <v>5429</v>
      </c>
      <c r="N13" s="83">
        <f>IFERROR(__xludf.DUMMYFUNCTION("IMPORTRANGE(""https://docs.google.com/spreadsheets/d/1SzxpZPUDnwxS8mSOLGEH5NbWU7ZW_VcRmIn7psOvuTs/edit#gid=1650312294?usp=sharing"",""1-12每月!$K13"")"),3093.0)</f>
        <v>3093</v>
      </c>
      <c r="O13" s="83">
        <f>IFERROR(__xludf.DUMMYFUNCTION("IMPORTRANGE(""https://docs.google.com/spreadsheets/d/1ta9i7cAkOPF0LapwmU_YEDA4IPQvKNuaYVMY8vIVPwI/edit#gid=1607741572?usp=sharing"",""1-12每月!$K13"")"),4234.0)</f>
        <v>4234</v>
      </c>
      <c r="P13" s="83">
        <f>IFERROR(__xludf.DUMMYFUNCTION("IMPORTRANGE(""https://docs.google.com/spreadsheets/d/1f4WWQfcNBonYqfzcaBhJlHzPwh34sx4U6naz-Aw2G4I/edit#gid=2097425894?usp=sharing"",""1-12每月!$L13"")"),3795.0)</f>
        <v>3795</v>
      </c>
      <c r="Q13" s="83">
        <f>IFERROR(__xludf.DUMMYFUNCTION("IMPORTRANGE(""https://docs.google.com/spreadsheets/d/1pCmmgCj7Y_SQPZLsiVd3yvND9oLyryVfBwNxC6OUwm8/edit#gid=170549058?usp=sharing"",""1-12每月!$L13"")"),6195.0)</f>
        <v>6195</v>
      </c>
      <c r="R13" s="83">
        <f>IFERROR(__xludf.DUMMYFUNCTION("IMPORTRANGE(""https://docs.google.com/spreadsheets/d/1hrRqxxacrLITR_JGMRVbhSRCIZIU8gAv0o_aOkHz68M/edit#gid=763155734?usp=sharing"",""1-12每月!$L13"")"),8739.0)</f>
        <v>8739</v>
      </c>
      <c r="S13" s="83">
        <f>IFERROR(__xludf.DUMMYFUNCTION("IMPORTRANGE(""https://docs.google.com/spreadsheets/d/1AKS3XWcgwNLFRbGU-lJ3UBHDQNdglvKwrv4_Bpp1IjU/edit#gid=73116376?usp=sharing"",""1-12每月!$K13"")"),8061.0)</f>
        <v>8061</v>
      </c>
      <c r="T13" s="83">
        <f>IFERROR(__xludf.DUMMYFUNCTION("IMPORTRANGE(""https://docs.google.com/spreadsheets/d/1wGGXGHkWT5JsjUDTy4FnHN_O9ae4MADbMykqIWVThNc/edit#gid=297806252?usp=sharing"",""1-12每月!$K13"")"),13262.0)</f>
        <v>13262</v>
      </c>
      <c r="U13" s="83">
        <f>IFERROR(__xludf.DUMMYFUNCTION("IMPORTRANGE(""https://docs.google.com/spreadsheets/d/1ShTgtQQDjMKpYx-TJ_lwdxnWSzJNUcNnzR3fJjoaZec/edit#gid=66107904?usp=sharing"",""1-12每月!$K13"")"),3357.0)</f>
        <v>3357</v>
      </c>
      <c r="V13" s="83">
        <f>IFERROR(__xludf.DUMMYFUNCTION("IMPORTRANGE(""https://docs.google.com/spreadsheets/d/1_eyuyKbXFCJd6fVFEKQwugwYCbRCmmWN_M7XR1dtOb8/edit#gid=951918895?usp=sharing"",""1-12每月!$K13"")"),1386.0)</f>
        <v>1386</v>
      </c>
      <c r="W13" s="83">
        <f>IFERROR(__xludf.DUMMYFUNCTION("IMPORTRANGE(""https://docs.google.com/spreadsheets/d/1yEpHI9_Y4w8sRmPP9C-mYK4NMfVuTJifGLMj4FMdqek/edit#gid=799087919?usp=sharing"",""1-12每月!$K13"")"),2891.0)</f>
        <v>2891</v>
      </c>
      <c r="X13" s="83">
        <f>IFERROR(__xludf.DUMMYFUNCTION("IMPORTRANGE(""https://docs.google.com/spreadsheets/d/1Vbyb9GlrY6jOwvoGyZFB96f7WXYjkT6gvTE37DPDXDI/edit#gid=9591526?usp=sharing"",""1-12每月!$K13"")"),5600.0)</f>
        <v>5600</v>
      </c>
      <c r="Y13" s="83">
        <f>IFERROR(__xludf.DUMMYFUNCTION("IMPORTRANGE(""https://docs.google.com/spreadsheets/d/1qeckoJwzWQAg8zQ80D-QJP4pnVYH6l2juaUyHtOu6y8/edit#gid=1905704096?usp=sharing"",""1-12每月!$K13"")"),4211.0)</f>
        <v>4211</v>
      </c>
      <c r="Z13" s="83">
        <f>IFERROR(__xludf.DUMMYFUNCTION("IMPORTRANGE(""https://docs.google.com/spreadsheets/d/1BcbIi7AD1VDpy_wMQ0YjCG-iuQy0_tkCVqr72a0Pwbg/edit#gid=1099513714?usp=sharing"",""1-12每月!$K13"")"),4224.0)</f>
        <v>4224</v>
      </c>
      <c r="AA13" s="83">
        <f>IFERROR(__xludf.DUMMYFUNCTION("IMPORTRANGE(""https://docs.google.com/spreadsheets/d/1cIFCQPaYiOmIt2O3vkEx5eto8sfRtx3JtAWJ1fv31HI/edit#gid=432689709?usp=sharing"",""1-12每月!$K13"")"),4747.0)</f>
        <v>4747</v>
      </c>
      <c r="AB13" s="83">
        <f>IFERROR(__xludf.DUMMYFUNCTION("IMPORTRANGE(""https://docs.google.com/spreadsheets/d/1C8ECYlbes2CJkHHGOAyOYVfrP7PdlGr8RMjK7KZd0_o/edit#gid=495469277?usp=sharing"",""1-12每月!$K13"")"),2853.0)</f>
        <v>2853</v>
      </c>
      <c r="AC13" s="83">
        <f>IFERROR(__xludf.DUMMYFUNCTION("IMPORTRANGE(""https://docs.google.com/spreadsheets/d/1ettcrhLPK6tkvHZxDTyU2bGIpGSi2ynG91ln0fqz9iE/edit#gid=1364213386?usp=sharing"",""1-12每月!$L13"")"),15669.0)</f>
        <v>15669</v>
      </c>
      <c r="AD13" s="83">
        <f>IFERROR(__xludf.DUMMYFUNCTION("IMPORTRANGE(""https://docs.google.com/spreadsheets/d/1xUhm-MtqzfUO8M5WEWVv9w2EFkv5_PHMOsAlA3CcCWU/edit#gid=1700470961?usp=sharing"",""1-12每月!$L13"")"),3724.0)</f>
        <v>3724</v>
      </c>
      <c r="AE13" s="83">
        <f>IFERROR(__xludf.DUMMYFUNCTION("IMPORTRANGE(""https://docs.google.com/spreadsheets/d/1DP8wl0QQLYSZ8R2aQ8wNmiAUXn7lVrqMsdTccpBmnQc/edit#gid=1145593933?usp=sharing"",""1-12每月!$L13"")"),3968.0)</f>
        <v>3968</v>
      </c>
      <c r="AF13" s="83">
        <f>IFERROR(__xludf.DUMMYFUNCTION("IMPORTRANGE(""https://docs.google.com/spreadsheets/d/17hbKAHrpKLEbG3r9s1Ay3fOGzvOBzSu3Bn_CD4JNLhY/edit#gid=756408948?usp=sharing"",""1-12每月!$L13"")"),3362.0)</f>
        <v>3362</v>
      </c>
      <c r="AG13" s="83">
        <f>IFERROR(__xludf.DUMMYFUNCTION("IMPORTRANGE(""https://docs.google.com/spreadsheets/d/1qeecSCKZ78ENQrsyUYpSNZqvo0-Y-uuGKFA1F06yLEM/edit#gid=874445072?usp=sharing"",""1-12每月!$M13"")"),4738.0)</f>
        <v>4738</v>
      </c>
      <c r="AH13" s="83">
        <f>IFERROR(__xludf.DUMMYFUNCTION("IMPORTRANGE(""https://docs.google.com/spreadsheets/d/1BSX0y1fIKw9-3VTr627UzGVjwKe74kwBkuFnvlaueNo/edit#gid=1113655470"",""1-12每月!$M13"")"),8336.0)</f>
        <v>8336</v>
      </c>
      <c r="AI13" s="83">
        <f>IFERROR(__xludf.DUMMYFUNCTION("IMPORTRANGE(""https://docs.google.com/spreadsheets/d/1bQzlrSGiVqBrfQ6FKnw67vhBELFgthonryGzmQabVFQ/edit#gid=1015697053"",""1-12每月!$M13"")"),5436.0)</f>
        <v>5436</v>
      </c>
      <c r="AJ13" s="83">
        <f>IFERROR(__xludf.DUMMYFUNCTION("IMPORTRANGE(""https://docs.google.com/spreadsheets/d/1Pem-mgCz4CF6EUKNVxDQx16g9jie0F5YNDQ_cPnMHYs"",""1-12每月!$M13"")"),6251.0)</f>
        <v>6251</v>
      </c>
      <c r="AK13" s="83">
        <f>IFERROR(__xludf.DUMMYFUNCTION("IMPORTRANGE(""https://docs.google.com/spreadsheets/d/1ZoRtUl0m9T3TpY8H-9-ntNBO_zrYrgNKuAe_XfTeFnU"",""1-12每月!$L13"")"),622.0)</f>
        <v>622</v>
      </c>
      <c r="AL13" s="83">
        <f>IFERROR(__xludf.DUMMYFUNCTION("IMPORTRANGE(""https://docs.google.com/spreadsheets/d/1Y9Uv46r1nA3ixCGwTWZqhGQWDt4KVX4iXmhJgHL5CGQ"",""1-12每月!$L13"")"),628.0)</f>
        <v>628</v>
      </c>
      <c r="AM13" s="83">
        <f>IFERROR(__xludf.DUMMYFUNCTION("IMPORTRANGE(""https://docs.google.com/spreadsheets/d/1E3X732-CKfouAVQOwKyrePWwI1Bwg9NHD0VD42lyiu4/edit?gid=1513765949#gid=1513765949"",""1-12每月!$L13"")"),0.0)</f>
        <v>0</v>
      </c>
      <c r="AN13" s="115"/>
      <c r="AO13" s="115"/>
      <c r="AP13" s="115"/>
      <c r="AQ13" s="115"/>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IFERROR(__xludf.DUMMYFUNCTION("IMPORTRANGE(""https://docs.google.com/spreadsheets/d/1dffLfsI-BGVz-K0zdrsWfGaqrFfoLJAhq001merp6Rk/edit?usp=sharing"",""1-12每月!$K14"")"),3666.0)</f>
        <v>3666</v>
      </c>
      <c r="N14" s="83">
        <f>IFERROR(__xludf.DUMMYFUNCTION("IMPORTRANGE(""https://docs.google.com/spreadsheets/d/1SzxpZPUDnwxS8mSOLGEH5NbWU7ZW_VcRmIn7psOvuTs/edit#gid=1650312294?usp=sharing"",""1-12每月!$K14"")"),2810.0)</f>
        <v>2810</v>
      </c>
      <c r="O14" s="83">
        <f>IFERROR(__xludf.DUMMYFUNCTION("IMPORTRANGE(""https://docs.google.com/spreadsheets/d/1ta9i7cAkOPF0LapwmU_YEDA4IPQvKNuaYVMY8vIVPwI/edit#gid=1607741572?usp=sharing"",""1-12每月!$K14"")"),2098.0)</f>
        <v>2098</v>
      </c>
      <c r="P14" s="83">
        <f>IFERROR(__xludf.DUMMYFUNCTION("IMPORTRANGE(""https://docs.google.com/spreadsheets/d/1f4WWQfcNBonYqfzcaBhJlHzPwh34sx4U6naz-Aw2G4I/edit#gid=2097425894?usp=sharing"",""1-12每月!$L14"")"),6064.0)</f>
        <v>6064</v>
      </c>
      <c r="Q14" s="83">
        <f>IFERROR(__xludf.DUMMYFUNCTION("IMPORTRANGE(""https://docs.google.com/spreadsheets/d/1pCmmgCj7Y_SQPZLsiVd3yvND9oLyryVfBwNxC6OUwm8/edit#gid=170549058?usp=sharing"",""1-12每月!$L14"")"),5706.0)</f>
        <v>5706</v>
      </c>
      <c r="R14" s="83">
        <f>IFERROR(__xludf.DUMMYFUNCTION("IMPORTRANGE(""https://docs.google.com/spreadsheets/d/1hrRqxxacrLITR_JGMRVbhSRCIZIU8gAv0o_aOkHz68M/edit#gid=763155734?usp=sharing"",""1-12每月!$L14"")"),7402.0)</f>
        <v>7402</v>
      </c>
      <c r="S14" s="83">
        <f>IFERROR(__xludf.DUMMYFUNCTION("IMPORTRANGE(""https://docs.google.com/spreadsheets/d/1AKS3XWcgwNLFRbGU-lJ3UBHDQNdglvKwrv4_Bpp1IjU/edit#gid=73116376?usp=sharing"",""1-12每月!$K14"")"),13041.0)</f>
        <v>13041</v>
      </c>
      <c r="T14" s="83">
        <f>IFERROR(__xludf.DUMMYFUNCTION("IMPORTRANGE(""https://docs.google.com/spreadsheets/d/1wGGXGHkWT5JsjUDTy4FnHN_O9ae4MADbMykqIWVThNc/edit#gid=297806252?usp=sharing"",""1-12每月!$K14"")"),9892.0)</f>
        <v>9892</v>
      </c>
      <c r="U14" s="83">
        <f>IFERROR(__xludf.DUMMYFUNCTION("IMPORTRANGE(""https://docs.google.com/spreadsheets/d/1ShTgtQQDjMKpYx-TJ_lwdxnWSzJNUcNnzR3fJjoaZec/edit#gid=66107904?usp=sharing"",""1-12每月!$K14"")"),4435.0)</f>
        <v>4435</v>
      </c>
      <c r="V14" s="83">
        <f>IFERROR(__xludf.DUMMYFUNCTION("IMPORTRANGE(""https://docs.google.com/spreadsheets/d/1_eyuyKbXFCJd6fVFEKQwugwYCbRCmmWN_M7XR1dtOb8/edit#gid=951918895?usp=sharing"",""1-12每月!$K14"")"),963.0)</f>
        <v>963</v>
      </c>
      <c r="W14" s="83">
        <f>IFERROR(__xludf.DUMMYFUNCTION("IMPORTRANGE(""https://docs.google.com/spreadsheets/d/1yEpHI9_Y4w8sRmPP9C-mYK4NMfVuTJifGLMj4FMdqek/edit#gid=799087919?usp=sharing"",""1-12每月!$K14"")"),3230.0)</f>
        <v>3230</v>
      </c>
      <c r="X14" s="83">
        <f>IFERROR(__xludf.DUMMYFUNCTION("IMPORTRANGE(""https://docs.google.com/spreadsheets/d/1Vbyb9GlrY6jOwvoGyZFB96f7WXYjkT6gvTE37DPDXDI/edit#gid=9591526?usp=sharing"",""1-12每月!$K14"")"),4672.0)</f>
        <v>4672</v>
      </c>
      <c r="Y14" s="83">
        <f>IFERROR(__xludf.DUMMYFUNCTION("IMPORTRANGE(""https://docs.google.com/spreadsheets/d/1qeckoJwzWQAg8zQ80D-QJP4pnVYH6l2juaUyHtOu6y8/edit#gid=1905704096?usp=sharing"",""1-12每月!$K14"")"),5735.0)</f>
        <v>5735</v>
      </c>
      <c r="Z14" s="83">
        <f>IFERROR(__xludf.DUMMYFUNCTION("IMPORTRANGE(""https://docs.google.com/spreadsheets/d/1BcbIi7AD1VDpy_wMQ0YjCG-iuQy0_tkCVqr72a0Pwbg/edit#gid=1099513714?usp=sharing"",""1-12每月!$K14"")"),4497.0)</f>
        <v>4497</v>
      </c>
      <c r="AA14" s="83">
        <f>IFERROR(__xludf.DUMMYFUNCTION("IMPORTRANGE(""https://docs.google.com/spreadsheets/d/1cIFCQPaYiOmIt2O3vkEx5eto8sfRtx3JtAWJ1fv31HI/edit#gid=432689709?usp=sharing"",""1-12每月!$K14"")"),4853.0)</f>
        <v>4853</v>
      </c>
      <c r="AB14" s="83">
        <f>IFERROR(__xludf.DUMMYFUNCTION("IMPORTRANGE(""https://docs.google.com/spreadsheets/d/1C8ECYlbes2CJkHHGOAyOYVfrP7PdlGr8RMjK7KZd0_o/edit#gid=495469277?usp=sharing"",""1-12每月!$K14"")"),5396.0)</f>
        <v>5396</v>
      </c>
      <c r="AC14" s="83">
        <f>IFERROR(__xludf.DUMMYFUNCTION("IMPORTRANGE(""https://docs.google.com/spreadsheets/d/1ettcrhLPK6tkvHZxDTyU2bGIpGSi2ynG91ln0fqz9iE/edit#gid=1364213386?usp=sharing"",""1-12每月!$L14"")"),5740.0)</f>
        <v>5740</v>
      </c>
      <c r="AD14" s="83">
        <f>IFERROR(__xludf.DUMMYFUNCTION("IMPORTRANGE(""https://docs.google.com/spreadsheets/d/1xUhm-MtqzfUO8M5WEWVv9w2EFkv5_PHMOsAlA3CcCWU/edit#gid=1700470961?usp=sharing"",""1-12每月!$L14"")"),5025.0)</f>
        <v>5025</v>
      </c>
      <c r="AE14" s="83">
        <f>IFERROR(__xludf.DUMMYFUNCTION("IMPORTRANGE(""https://docs.google.com/spreadsheets/d/1DP8wl0QQLYSZ8R2aQ8wNmiAUXn7lVrqMsdTccpBmnQc/edit#gid=1145593933?usp=sharing"",""1-12每月!$L14"")"),3726.0)</f>
        <v>3726</v>
      </c>
      <c r="AF14" s="83">
        <f>IFERROR(__xludf.DUMMYFUNCTION("IMPORTRANGE(""https://docs.google.com/spreadsheets/d/17hbKAHrpKLEbG3r9s1Ay3fOGzvOBzSu3Bn_CD4JNLhY/edit#gid=756408948?usp=sharing"",""1-12每月!$L14"")"),3366.0)</f>
        <v>3366</v>
      </c>
      <c r="AG14" s="83">
        <f>IFERROR(__xludf.DUMMYFUNCTION("IMPORTRANGE(""https://docs.google.com/spreadsheets/d/1qeecSCKZ78ENQrsyUYpSNZqvo0-Y-uuGKFA1F06yLEM/edit#gid=874445072?usp=sharing"",""1-12每月!$M14"")"),9361.0)</f>
        <v>9361</v>
      </c>
      <c r="AH14" s="83">
        <f>IFERROR(__xludf.DUMMYFUNCTION("IMPORTRANGE(""https://docs.google.com/spreadsheets/d/1BSX0y1fIKw9-3VTr627UzGVjwKe74kwBkuFnvlaueNo/edit#gid=1113655470"",""1-12每月!$M14"")"),4772.0)</f>
        <v>4772</v>
      </c>
      <c r="AI14" s="83">
        <f>IFERROR(__xludf.DUMMYFUNCTION("IMPORTRANGE(""https://docs.google.com/spreadsheets/d/1bQzlrSGiVqBrfQ6FKnw67vhBELFgthonryGzmQabVFQ/edit#gid=1015697053"",""1-12每月!$M14"")"),5139.0)</f>
        <v>5139</v>
      </c>
      <c r="AJ14" s="83">
        <f>IFERROR(__xludf.DUMMYFUNCTION("IMPORTRANGE(""https://docs.google.com/spreadsheets/d/1Pem-mgCz4CF6EUKNVxDQx16g9jie0F5YNDQ_cPnMHYs"",""1-12每月!$M14"")"),7248.0)</f>
        <v>7248</v>
      </c>
      <c r="AK14" s="83">
        <f>IFERROR(__xludf.DUMMYFUNCTION("IMPORTRANGE(""https://docs.google.com/spreadsheets/d/1ZoRtUl0m9T3TpY8H-9-ntNBO_zrYrgNKuAe_XfTeFnU"",""1-12每月!$L14"")"),974.0)</f>
        <v>974</v>
      </c>
      <c r="AL14" s="83">
        <f>IFERROR(__xludf.DUMMYFUNCTION("IMPORTRANGE(""https://docs.google.com/spreadsheets/d/1Y9Uv46r1nA3ixCGwTWZqhGQWDt4KVX4iXmhJgHL5CGQ"",""1-12每月!$L14"")"),731.0)</f>
        <v>731</v>
      </c>
      <c r="AM14" s="83">
        <f>IFERROR(__xludf.DUMMYFUNCTION("IMPORTRANGE(""https://docs.google.com/spreadsheets/d/1E3X732-CKfouAVQOwKyrePWwI1Bwg9NHD0VD42lyiu4/edit?gid=1513765949#gid=1513765949"",""1-12每月!$L14"")"),0.0)</f>
        <v>0</v>
      </c>
      <c r="AN14" s="115"/>
      <c r="AO14" s="115"/>
      <c r="AP14" s="115"/>
      <c r="AQ14" s="115"/>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IFERROR(__xludf.DUMMYFUNCTION("IMPORTRANGE(""https://docs.google.com/spreadsheets/d/1dffLfsI-BGVz-K0zdrsWfGaqrFfoLJAhq001merp6Rk/edit?usp=sharing"",""1-12每月!$K15"")"),2383.0)</f>
        <v>2383</v>
      </c>
      <c r="N15" s="83">
        <f>IFERROR(__xludf.DUMMYFUNCTION("IMPORTRANGE(""https://docs.google.com/spreadsheets/d/1SzxpZPUDnwxS8mSOLGEH5NbWU7ZW_VcRmIn7psOvuTs/edit#gid=1650312294?usp=sharing"",""1-12每月!$K15"")"),2196.0)</f>
        <v>2196</v>
      </c>
      <c r="O15" s="83">
        <f>IFERROR(__xludf.DUMMYFUNCTION("IMPORTRANGE(""https://docs.google.com/spreadsheets/d/1ta9i7cAkOPF0LapwmU_YEDA4IPQvKNuaYVMY8vIVPwI/edit#gid=1607741572?usp=sharing"",""1-12每月!$K15"")"),9733.0)</f>
        <v>9733</v>
      </c>
      <c r="P15" s="83">
        <f>IFERROR(__xludf.DUMMYFUNCTION("IMPORTRANGE(""https://docs.google.com/spreadsheets/d/1f4WWQfcNBonYqfzcaBhJlHzPwh34sx4U6naz-Aw2G4I/edit#gid=2097425894?usp=sharing"",""1-12每月!$L15"")"),8509.0)</f>
        <v>8509</v>
      </c>
      <c r="Q15" s="83">
        <f>IFERROR(__xludf.DUMMYFUNCTION("IMPORTRANGE(""https://docs.google.com/spreadsheets/d/1pCmmgCj7Y_SQPZLsiVd3yvND9oLyryVfBwNxC6OUwm8/edit#gid=170549058?usp=sharing"",""1-12每月!$L15"")"),8555.0)</f>
        <v>8555</v>
      </c>
      <c r="R15" s="83">
        <f>IFERROR(__xludf.DUMMYFUNCTION("IMPORTRANGE(""https://docs.google.com/spreadsheets/d/1hrRqxxacrLITR_JGMRVbhSRCIZIU8gAv0o_aOkHz68M/edit#gid=763155734?usp=sharing"",""1-12每月!$L15"")"),9062.0)</f>
        <v>9062</v>
      </c>
      <c r="S15" s="83">
        <f>IFERROR(__xludf.DUMMYFUNCTION("IMPORTRANGE(""https://docs.google.com/spreadsheets/d/1AKS3XWcgwNLFRbGU-lJ3UBHDQNdglvKwrv4_Bpp1IjU/edit#gid=73116376?usp=sharing"",""1-12每月!$K15"")"),11455.0)</f>
        <v>11455</v>
      </c>
      <c r="T15" s="83">
        <f>IFERROR(__xludf.DUMMYFUNCTION("IMPORTRANGE(""https://docs.google.com/spreadsheets/d/1wGGXGHkWT5JsjUDTy4FnHN_O9ae4MADbMykqIWVThNc/edit#gid=297806252?usp=sharing"",""1-12每月!$K15"")"),10730.0)</f>
        <v>10730</v>
      </c>
      <c r="U15" s="83">
        <f>IFERROR(__xludf.DUMMYFUNCTION("IMPORTRANGE(""https://docs.google.com/spreadsheets/d/1ShTgtQQDjMKpYx-TJ_lwdxnWSzJNUcNnzR3fJjoaZec/edit#gid=66107904?usp=sharing"",""1-12每月!$K15"")"),4431.0)</f>
        <v>4431</v>
      </c>
      <c r="V15" s="83">
        <f>IFERROR(__xludf.DUMMYFUNCTION("IMPORTRANGE(""https://docs.google.com/spreadsheets/d/1_eyuyKbXFCJd6fVFEKQwugwYCbRCmmWN_M7XR1dtOb8/edit#gid=951918895?usp=sharing"",""1-12每月!$K15"")"),1545.0)</f>
        <v>1545</v>
      </c>
      <c r="W15" s="83">
        <f>IFERROR(__xludf.DUMMYFUNCTION("IMPORTRANGE(""https://docs.google.com/spreadsheets/d/1yEpHI9_Y4w8sRmPP9C-mYK4NMfVuTJifGLMj4FMdqek/edit#gid=799087919?usp=sharing"",""1-12每月!$K15"")"),2314.0)</f>
        <v>2314</v>
      </c>
      <c r="X15" s="83">
        <f>IFERROR(__xludf.DUMMYFUNCTION("IMPORTRANGE(""https://docs.google.com/spreadsheets/d/1Vbyb9GlrY6jOwvoGyZFB96f7WXYjkT6gvTE37DPDXDI/edit#gid=9591526?usp=sharing"",""1-12每月!$K15"")"),3527.0)</f>
        <v>3527</v>
      </c>
      <c r="Y15" s="83">
        <f>IFERROR(__xludf.DUMMYFUNCTION("IMPORTRANGE(""https://docs.google.com/spreadsheets/d/1qeckoJwzWQAg8zQ80D-QJP4pnVYH6l2juaUyHtOu6y8/edit#gid=1905704096?usp=sharing"",""1-12每月!$K15"")"),4273.0)</f>
        <v>4273</v>
      </c>
      <c r="Z15" s="83">
        <f>IFERROR(__xludf.DUMMYFUNCTION("IMPORTRANGE(""https://docs.google.com/spreadsheets/d/1BcbIi7AD1VDpy_wMQ0YjCG-iuQy0_tkCVqr72a0Pwbg/edit#gid=1099513714?usp=sharing"",""1-12每月!$K15"")"),3979.0)</f>
        <v>3979</v>
      </c>
      <c r="AA15" s="83">
        <f>IFERROR(__xludf.DUMMYFUNCTION("IMPORTRANGE(""https://docs.google.com/spreadsheets/d/1cIFCQPaYiOmIt2O3vkEx5eto8sfRtx3JtAWJ1fv31HI/edit#gid=432689709?usp=sharing"",""1-12每月!$K15"")"),4282.0)</f>
        <v>4282</v>
      </c>
      <c r="AB15" s="83">
        <f>IFERROR(__xludf.DUMMYFUNCTION("IMPORTRANGE(""https://docs.google.com/spreadsheets/d/1C8ECYlbes2CJkHHGOAyOYVfrP7PdlGr8RMjK7KZd0_o/edit#gid=495469277?usp=sharing"",""1-12每月!$K15"")"),4180.0)</f>
        <v>4180</v>
      </c>
      <c r="AC15" s="83">
        <f>IFERROR(__xludf.DUMMYFUNCTION("IMPORTRANGE(""https://docs.google.com/spreadsheets/d/1ettcrhLPK6tkvHZxDTyU2bGIpGSi2ynG91ln0fqz9iE/edit#gid=1364213386?usp=sharing"",""1-12每月!$L15"")"),5163.0)</f>
        <v>5163</v>
      </c>
      <c r="AD15" s="83">
        <f>IFERROR(__xludf.DUMMYFUNCTION("IMPORTRANGE(""https://docs.google.com/spreadsheets/d/1xUhm-MtqzfUO8M5WEWVv9w2EFkv5_PHMOsAlA3CcCWU/edit#gid=1700470961?usp=sharing"",""1-12每月!$L15"")"),3103.0)</f>
        <v>3103</v>
      </c>
      <c r="AE15" s="83">
        <f>IFERROR(__xludf.DUMMYFUNCTION("IMPORTRANGE(""https://docs.google.com/spreadsheets/d/1DP8wl0QQLYSZ8R2aQ8wNmiAUXn7lVrqMsdTccpBmnQc/edit#gid=1145593933?usp=sharing"",""1-12每月!$L15"")"),3590.0)</f>
        <v>3590</v>
      </c>
      <c r="AF15" s="83">
        <f>IFERROR(__xludf.DUMMYFUNCTION("IMPORTRANGE(""https://docs.google.com/spreadsheets/d/17hbKAHrpKLEbG3r9s1Ay3fOGzvOBzSu3Bn_CD4JNLhY/edit#gid=756408948?usp=sharing"",""1-12每月!$L15"")"),2744.0)</f>
        <v>2744</v>
      </c>
      <c r="AG15" s="83">
        <f>IFERROR(__xludf.DUMMYFUNCTION("IMPORTRANGE(""https://docs.google.com/spreadsheets/d/1qeecSCKZ78ENQrsyUYpSNZqvo0-Y-uuGKFA1F06yLEM/edit#gid=874445072?usp=sharing"",""1-12每月!$M15"")"),7253.0)</f>
        <v>7253</v>
      </c>
      <c r="AH15" s="83">
        <f>IFERROR(__xludf.DUMMYFUNCTION("IMPORTRANGE(""https://docs.google.com/spreadsheets/d/1BSX0y1fIKw9-3VTr627UzGVjwKe74kwBkuFnvlaueNo/edit#gid=1113655470"",""1-12每月!$M15"")"),8017.0)</f>
        <v>8017</v>
      </c>
      <c r="AI15" s="83">
        <f>IFERROR(__xludf.DUMMYFUNCTION("IMPORTRANGE(""https://docs.google.com/spreadsheets/d/1bQzlrSGiVqBrfQ6FKnw67vhBELFgthonryGzmQabVFQ/edit#gid=1015697053"",""1-12每月!$M15"")"),4169.0)</f>
        <v>4169</v>
      </c>
      <c r="AJ15" s="83">
        <f>IFERROR(__xludf.DUMMYFUNCTION("IMPORTRANGE(""https://docs.google.com/spreadsheets/d/1Pem-mgCz4CF6EUKNVxDQx16g9jie0F5YNDQ_cPnMHYs"",""1-12每月!$M15"")"),5698.0)</f>
        <v>5698</v>
      </c>
      <c r="AK15" s="83">
        <f>IFERROR(__xludf.DUMMYFUNCTION("IMPORTRANGE(""https://docs.google.com/spreadsheets/d/1ZoRtUl0m9T3TpY8H-9-ntNBO_zrYrgNKuAe_XfTeFnU"",""1-12每月!$L15"")"),1113.0)</f>
        <v>1113</v>
      </c>
      <c r="AL15" s="83">
        <f>IFERROR(__xludf.DUMMYFUNCTION("IMPORTRANGE(""https://docs.google.com/spreadsheets/d/1Y9Uv46r1nA3ixCGwTWZqhGQWDt4KVX4iXmhJgHL5CGQ"",""1-12每月!$L15"")"),432.0)</f>
        <v>432</v>
      </c>
      <c r="AM15" s="83">
        <f>IFERROR(__xludf.DUMMYFUNCTION("IMPORTRANGE(""https://docs.google.com/spreadsheets/d/1E3X732-CKfouAVQOwKyrePWwI1Bwg9NHD0VD42lyiu4/edit?gid=1513765949#gid=1513765949"",""1-12每月!$L15"")"),0.0)</f>
        <v>0</v>
      </c>
      <c r="AN15" s="115"/>
      <c r="AO15" s="115"/>
      <c r="AP15" s="115"/>
      <c r="AQ15" s="115"/>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IFERROR(__xludf.DUMMYFUNCTION("IMPORTRANGE(""https://docs.google.com/spreadsheets/d/1dffLfsI-BGVz-K0zdrsWfGaqrFfoLJAhq001merp6Rk/edit?usp=sharing"",""1-12每月!$K16"")"),2061.0)</f>
        <v>2061</v>
      </c>
      <c r="N16" s="83">
        <f>IFERROR(__xludf.DUMMYFUNCTION("IMPORTRANGE(""https://docs.google.com/spreadsheets/d/1SzxpZPUDnwxS8mSOLGEH5NbWU7ZW_VcRmIn7psOvuTs/edit#gid=1650312294?usp=sharing"",""1-12每月!$K16"")"),4267.0)</f>
        <v>4267</v>
      </c>
      <c r="O16" s="83">
        <f>IFERROR(__xludf.DUMMYFUNCTION("IMPORTRANGE(""https://docs.google.com/spreadsheets/d/1ta9i7cAkOPF0LapwmU_YEDA4IPQvKNuaYVMY8vIVPwI/edit#gid=1607741572?usp=sharing"",""1-12每月!$K16"")"),6345.0)</f>
        <v>6345</v>
      </c>
      <c r="P16" s="83">
        <f>IFERROR(__xludf.DUMMYFUNCTION("IMPORTRANGE(""https://docs.google.com/spreadsheets/d/1f4WWQfcNBonYqfzcaBhJlHzPwh34sx4U6naz-Aw2G4I/edit#gid=2097425894?usp=sharing"",""1-12每月!$L16"")"),8380.0)</f>
        <v>8380</v>
      </c>
      <c r="Q16" s="83">
        <f>IFERROR(__xludf.DUMMYFUNCTION("IMPORTRANGE(""https://docs.google.com/spreadsheets/d/1pCmmgCj7Y_SQPZLsiVd3yvND9oLyryVfBwNxC6OUwm8/edit#gid=170549058?usp=sharing"",""1-12每月!$L16"")"),8613.0)</f>
        <v>8613</v>
      </c>
      <c r="R16" s="83">
        <f>IFERROR(__xludf.DUMMYFUNCTION("IMPORTRANGE(""https://docs.google.com/spreadsheets/d/1hrRqxxacrLITR_JGMRVbhSRCIZIU8gAv0o_aOkHz68M/edit#gid=763155734?usp=sharing"",""1-12每月!$L16"")"),6747.0)</f>
        <v>6747</v>
      </c>
      <c r="S16" s="83">
        <f>IFERROR(__xludf.DUMMYFUNCTION("IMPORTRANGE(""https://docs.google.com/spreadsheets/d/1AKS3XWcgwNLFRbGU-lJ3UBHDQNdglvKwrv4_Bpp1IjU/edit#gid=73116376?usp=sharing"",""1-12每月!$K16"")"),9913.0)</f>
        <v>9913</v>
      </c>
      <c r="T16" s="83">
        <f>IFERROR(__xludf.DUMMYFUNCTION("IMPORTRANGE(""https://docs.google.com/spreadsheets/d/1wGGXGHkWT5JsjUDTy4FnHN_O9ae4MADbMykqIWVThNc/edit#gid=297806252?usp=sharing"",""1-12每月!$K16"")"),10665.0)</f>
        <v>10665</v>
      </c>
      <c r="U16" s="83">
        <f>IFERROR(__xludf.DUMMYFUNCTION("IMPORTRANGE(""https://docs.google.com/spreadsheets/d/1ShTgtQQDjMKpYx-TJ_lwdxnWSzJNUcNnzR3fJjoaZec/edit#gid=66107904?usp=sharing"",""1-12每月!$K16"")"),3696.0)</f>
        <v>3696</v>
      </c>
      <c r="V16" s="83">
        <f>IFERROR(__xludf.DUMMYFUNCTION("IMPORTRANGE(""https://docs.google.com/spreadsheets/d/1_eyuyKbXFCJd6fVFEKQwugwYCbRCmmWN_M7XR1dtOb8/edit#gid=951918895?usp=sharing"",""1-12每月!$K16"")"),1488.0)</f>
        <v>1488</v>
      </c>
      <c r="W16" s="83">
        <f>IFERROR(__xludf.DUMMYFUNCTION("IMPORTRANGE(""https://docs.google.com/spreadsheets/d/1yEpHI9_Y4w8sRmPP9C-mYK4NMfVuTJifGLMj4FMdqek/edit#gid=799087919?usp=sharing"",""1-12每月!$K16"")"),1889.0)</f>
        <v>1889</v>
      </c>
      <c r="X16" s="83">
        <f>IFERROR(__xludf.DUMMYFUNCTION("IMPORTRANGE(""https://docs.google.com/spreadsheets/d/1Vbyb9GlrY6jOwvoGyZFB96f7WXYjkT6gvTE37DPDXDI/edit#gid=9591526?usp=sharing"",""1-12每月!$K16"")"),3732.0)</f>
        <v>3732</v>
      </c>
      <c r="Y16" s="83">
        <f>IFERROR(__xludf.DUMMYFUNCTION("IMPORTRANGE(""https://docs.google.com/spreadsheets/d/1qeckoJwzWQAg8zQ80D-QJP4pnVYH6l2juaUyHtOu6y8/edit#gid=1905704096?usp=sharing"",""1-12每月!$K16"")"),4269.0)</f>
        <v>4269</v>
      </c>
      <c r="Z16" s="83">
        <f>IFERROR(__xludf.DUMMYFUNCTION("IMPORTRANGE(""https://docs.google.com/spreadsheets/d/1BcbIi7AD1VDpy_wMQ0YjCG-iuQy0_tkCVqr72a0Pwbg/edit#gid=1099513714?usp=sharing"",""1-12每月!$K16"")"),3540.0)</f>
        <v>3540</v>
      </c>
      <c r="AA16" s="83">
        <f>IFERROR(__xludf.DUMMYFUNCTION("IMPORTRANGE(""https://docs.google.com/spreadsheets/d/1cIFCQPaYiOmIt2O3vkEx5eto8sfRtx3JtAWJ1fv31HI/edit#gid=432689709?usp=sharing"",""1-12每月!$K16"")"),4174.0)</f>
        <v>4174</v>
      </c>
      <c r="AB16" s="83">
        <f>IFERROR(__xludf.DUMMYFUNCTION("IMPORTRANGE(""https://docs.google.com/spreadsheets/d/1C8ECYlbes2CJkHHGOAyOYVfrP7PdlGr8RMjK7KZd0_o/edit#gid=495469277?usp=sharing"",""1-12每月!$K16"")"),3756.0)</f>
        <v>3756</v>
      </c>
      <c r="AC16" s="83">
        <f>IFERROR(__xludf.DUMMYFUNCTION("IMPORTRANGE(""https://docs.google.com/spreadsheets/d/1ettcrhLPK6tkvHZxDTyU2bGIpGSi2ynG91ln0fqz9iE/edit#gid=1364213386?usp=sharing"",""1-12每月!$L16"")"),4464.0)</f>
        <v>4464</v>
      </c>
      <c r="AD16" s="83">
        <f>IFERROR(__xludf.DUMMYFUNCTION("IMPORTRANGE(""https://docs.google.com/spreadsheets/d/1xUhm-MtqzfUO8M5WEWVv9w2EFkv5_PHMOsAlA3CcCWU/edit#gid=1700470961?usp=sharing"",""1-12每月!$L16"")"),3820.0)</f>
        <v>3820</v>
      </c>
      <c r="AE16" s="83">
        <f>IFERROR(__xludf.DUMMYFUNCTION("IMPORTRANGE(""https://docs.google.com/spreadsheets/d/1DP8wl0QQLYSZ8R2aQ8wNmiAUXn7lVrqMsdTccpBmnQc/edit#gid=1145593933?usp=sharing"",""1-12每月!$L16"")"),4540.0)</f>
        <v>4540</v>
      </c>
      <c r="AF16" s="83">
        <f>IFERROR(__xludf.DUMMYFUNCTION("IMPORTRANGE(""https://docs.google.com/spreadsheets/d/17hbKAHrpKLEbG3r9s1Ay3fOGzvOBzSu3Bn_CD4JNLhY/edit#gid=756408948?usp=sharing"",""1-12每月!$L16"")"),2632.0)</f>
        <v>2632</v>
      </c>
      <c r="AG16" s="83">
        <f>IFERROR(__xludf.DUMMYFUNCTION("IMPORTRANGE(""https://docs.google.com/spreadsheets/d/1qeecSCKZ78ENQrsyUYpSNZqvo0-Y-uuGKFA1F06yLEM/edit#gid=874445072?usp=sharing"",""1-12每月!$M16"")"),5055.0)</f>
        <v>5055</v>
      </c>
      <c r="AH16" s="83">
        <f>IFERROR(__xludf.DUMMYFUNCTION("IMPORTRANGE(""https://docs.google.com/spreadsheets/d/1BSX0y1fIKw9-3VTr627UzGVjwKe74kwBkuFnvlaueNo/edit#gid=1113655470"",""1-12每月!$M16"")"),3601.0)</f>
        <v>3601</v>
      </c>
      <c r="AI16" s="83">
        <f>IFERROR(__xludf.DUMMYFUNCTION("IMPORTRANGE(""https://docs.google.com/spreadsheets/d/1bQzlrSGiVqBrfQ6FKnw67vhBELFgthonryGzmQabVFQ/edit#gid=1015697053"",""1-12每月!$M16"")"),4905.0)</f>
        <v>4905</v>
      </c>
      <c r="AJ16" s="83">
        <f>IFERROR(__xludf.DUMMYFUNCTION("IMPORTRANGE(""https://docs.google.com/spreadsheets/d/1Pem-mgCz4CF6EUKNVxDQx16g9jie0F5YNDQ_cPnMHYs"",""1-12每月!$M16"")"),4032.0)</f>
        <v>4032</v>
      </c>
      <c r="AK16" s="83">
        <f>IFERROR(__xludf.DUMMYFUNCTION("IMPORTRANGE(""https://docs.google.com/spreadsheets/d/1ZoRtUl0m9T3TpY8H-9-ntNBO_zrYrgNKuAe_XfTeFnU"",""1-12每月!$L16"")"),948.0)</f>
        <v>948</v>
      </c>
      <c r="AL16" s="83">
        <f>IFERROR(__xludf.DUMMYFUNCTION("IMPORTRANGE(""https://docs.google.com/spreadsheets/d/1Y9Uv46r1nA3ixCGwTWZqhGQWDt4KVX4iXmhJgHL5CGQ"",""1-12每月!$L16"")"),764.0)</f>
        <v>764</v>
      </c>
      <c r="AM16" s="83">
        <f>IFERROR(__xludf.DUMMYFUNCTION("IMPORTRANGE(""https://docs.google.com/spreadsheets/d/1E3X732-CKfouAVQOwKyrePWwI1Bwg9NHD0VD42lyiu4/edit?gid=1513765949#gid=1513765949"",""1-12每月!$L16"")"),0.0)</f>
        <v>0</v>
      </c>
      <c r="AN16" s="115"/>
      <c r="AO16" s="115"/>
      <c r="AP16" s="115"/>
      <c r="AQ16" s="115"/>
      <c r="AR16" s="108"/>
    </row>
    <row r="17" ht="15.75" customHeight="1">
      <c r="A17" s="86" t="s">
        <v>45</v>
      </c>
      <c r="B17" s="87"/>
      <c r="C17" s="87"/>
      <c r="D17" s="87"/>
      <c r="E17" s="87"/>
      <c r="F17" s="87"/>
      <c r="G17" s="87"/>
      <c r="H17" s="87"/>
      <c r="I17" s="87"/>
      <c r="J17" s="87"/>
      <c r="K17" s="87"/>
      <c r="L17" s="87"/>
      <c r="M17" s="87">
        <f t="shared" ref="M17:AR17" si="1">SUM(M5:M16)</f>
        <v>61294</v>
      </c>
      <c r="N17" s="87">
        <f t="shared" si="1"/>
        <v>50862</v>
      </c>
      <c r="O17" s="87">
        <f t="shared" si="1"/>
        <v>59878</v>
      </c>
      <c r="P17" s="87">
        <f t="shared" si="1"/>
        <v>68083</v>
      </c>
      <c r="Q17" s="87">
        <f t="shared" si="1"/>
        <v>83018</v>
      </c>
      <c r="R17" s="87">
        <f t="shared" si="1"/>
        <v>105867</v>
      </c>
      <c r="S17" s="87">
        <f t="shared" si="1"/>
        <v>113178</v>
      </c>
      <c r="T17" s="87">
        <f t="shared" si="1"/>
        <v>137270</v>
      </c>
      <c r="U17" s="87">
        <f t="shared" si="1"/>
        <v>57777</v>
      </c>
      <c r="V17" s="87">
        <f t="shared" si="1"/>
        <v>19182</v>
      </c>
      <c r="W17" s="87">
        <f t="shared" si="1"/>
        <v>36881</v>
      </c>
      <c r="X17" s="87">
        <f t="shared" si="1"/>
        <v>42119</v>
      </c>
      <c r="Y17" s="87">
        <f t="shared" si="1"/>
        <v>61743</v>
      </c>
      <c r="Z17" s="87">
        <f t="shared" si="1"/>
        <v>55449</v>
      </c>
      <c r="AA17" s="87">
        <f t="shared" si="1"/>
        <v>58327</v>
      </c>
      <c r="AB17" s="87">
        <f t="shared" si="1"/>
        <v>60904</v>
      </c>
      <c r="AC17" s="87">
        <f t="shared" si="1"/>
        <v>71255</v>
      </c>
      <c r="AD17" s="87">
        <f t="shared" si="1"/>
        <v>56911</v>
      </c>
      <c r="AE17" s="87">
        <f t="shared" si="1"/>
        <v>49081</v>
      </c>
      <c r="AF17" s="87">
        <f t="shared" si="1"/>
        <v>47997</v>
      </c>
      <c r="AG17" s="87">
        <f t="shared" si="1"/>
        <v>70786</v>
      </c>
      <c r="AH17" s="87">
        <f t="shared" si="1"/>
        <v>70164</v>
      </c>
      <c r="AI17" s="87">
        <f t="shared" si="1"/>
        <v>61168</v>
      </c>
      <c r="AJ17" s="87">
        <f t="shared" si="1"/>
        <v>70164</v>
      </c>
      <c r="AK17" s="87">
        <f t="shared" si="1"/>
        <v>7561</v>
      </c>
      <c r="AL17" s="87">
        <f t="shared" si="1"/>
        <v>9785</v>
      </c>
      <c r="AM17" s="87">
        <f t="shared" si="1"/>
        <v>5012</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-0.170196104</v>
      </c>
      <c r="O18" s="90">
        <f t="shared" si="2"/>
        <v>0.1772639692</v>
      </c>
      <c r="P18" s="90">
        <f t="shared" si="2"/>
        <v>0.1370286249</v>
      </c>
      <c r="Q18" s="90">
        <f t="shared" si="2"/>
        <v>0.2193645991</v>
      </c>
      <c r="R18" s="90">
        <f t="shared" si="2"/>
        <v>0.2752294683</v>
      </c>
      <c r="S18" s="90">
        <f t="shared" si="2"/>
        <v>0.06905834679</v>
      </c>
      <c r="T18" s="90">
        <f t="shared" si="2"/>
        <v>0.2128682253</v>
      </c>
      <c r="U18" s="90">
        <f t="shared" si="2"/>
        <v>-0.5790995848</v>
      </c>
      <c r="V18" s="90">
        <f t="shared" si="2"/>
        <v>-0.6679993769</v>
      </c>
      <c r="W18" s="90">
        <f t="shared" si="2"/>
        <v>0.9226879366</v>
      </c>
      <c r="X18" s="90">
        <f t="shared" si="2"/>
        <v>0.1420243486</v>
      </c>
      <c r="Y18" s="90">
        <f t="shared" si="2"/>
        <v>0.4659179943</v>
      </c>
      <c r="Z18" s="90">
        <f t="shared" si="2"/>
        <v>-0.1019386813</v>
      </c>
      <c r="AA18" s="90">
        <f t="shared" si="2"/>
        <v>0.05190355101</v>
      </c>
      <c r="AB18" s="90">
        <f t="shared" si="2"/>
        <v>0.04418193975</v>
      </c>
      <c r="AC18" s="90">
        <f t="shared" si="2"/>
        <v>0.1699559963</v>
      </c>
      <c r="AD18" s="90">
        <f t="shared" ref="AD18:AR18" si="3">IF(AC17=0,0,(AD17-AC17)/AC17)</f>
        <v>-0.2013051716</v>
      </c>
      <c r="AE18" s="90">
        <f t="shared" si="3"/>
        <v>-0.137583244</v>
      </c>
      <c r="AF18" s="90">
        <f t="shared" si="3"/>
        <v>-0.02208593957</v>
      </c>
      <c r="AG18" s="90">
        <f t="shared" si="3"/>
        <v>0.4748005084</v>
      </c>
      <c r="AH18" s="90">
        <f t="shared" si="3"/>
        <v>-0.008787048286</v>
      </c>
      <c r="AI18" s="90">
        <f t="shared" si="3"/>
        <v>-0.1282138989</v>
      </c>
      <c r="AJ18" s="90">
        <f t="shared" si="3"/>
        <v>0.1470703636</v>
      </c>
      <c r="AK18" s="90">
        <f t="shared" si="3"/>
        <v>-0.8922381848</v>
      </c>
      <c r="AL18" s="90">
        <f t="shared" si="3"/>
        <v>0.2941409866</v>
      </c>
      <c r="AM18" s="90">
        <f t="shared" si="3"/>
        <v>-0.4877874297</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167</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110" t="s">
        <v>168</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138</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110" t="s">
        <v>139</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4">SUM(AD$5:AD$6)</f>
        <v>10526</v>
      </c>
      <c r="AE23" s="92">
        <f t="shared" si="4"/>
        <v>7587</v>
      </c>
      <c r="AF23" s="77"/>
      <c r="AG23" s="92">
        <f>'綠島遊憩區'!AD21+'東部海岸富岡地質公園及加路蘭休憩區'!AD24+'水往上流遊憩區(113年起停計)'!AD23+'都歷處本部'!AD24+'三仙台遊憩區及周邊地區'!AD23+'八仙洞遊憩區'!AD23+'秀姑巒溪遊客中心園區'!AD23+'石梯坪遊憩區'!AD24+'磯崎海濱遊憩區(113年起停計)'!AD20+'花蓮海洋公園'!AD20+'花蓮遊客中心園區'!AD23</f>
        <v>565436</v>
      </c>
      <c r="AH23" s="92">
        <f>'綠島遊憩區'!AE21+'東部海岸富岡地質公園及加路蘭休憩區'!AE24+'水往上流遊憩區(113年起停計)'!AE23+'都歷處本部'!AE24+'三仙台遊憩區及周邊地區'!AE23+'八仙洞遊憩區'!AE23+'秀姑巒溪遊客中心園區'!AE23+'石梯坪遊憩區'!AE24+'磯崎海濱遊憩區(113年起停計)'!AE20+'花蓮海洋公園'!AE20+'花蓮遊客中心園區'!AE23</f>
        <v>382598.68</v>
      </c>
      <c r="AI23" s="106">
        <f t="shared" ref="AI23:AI24" si="6">(AH23-AG23)/AG23</f>
        <v>-0.323356348</v>
      </c>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5">SUM(AD$7:AD$11)</f>
        <v>24851</v>
      </c>
      <c r="AE24" s="92">
        <f t="shared" si="5"/>
        <v>21748</v>
      </c>
      <c r="AF24" s="77"/>
      <c r="AG24" s="92">
        <f>'綠島遊憩區'!AD22+'東部海岸富岡地質公園及加路蘭休憩區'!AD25+'水往上流遊憩區(113年起停計)'!AD24+'都歷處本部'!AD25+'三仙台遊憩區及周邊地區'!AD24+'八仙洞遊憩區'!AD24+'秀姑巒溪遊客中心園區'!AD24+'石梯坪遊憩區'!AD25+'磯崎海濱遊憩區(113年起停計)'!AD21+'花蓮海洋公園'!AD21+'花蓮遊客中心園區'!AD24</f>
        <v>1292495</v>
      </c>
      <c r="AH24" s="92">
        <f>'綠島遊憩區'!AE22+'東部海岸富岡地質公園及加路蘭休憩區'!AE25+'水往上流遊憩區(113年起停計)'!AE24+'都歷處本部'!AE25+'三仙台遊憩區及周邊地區'!AE24+'八仙洞遊憩區'!AE24+'秀姑巒溪遊客中心園區'!AE24+'石梯坪遊憩區'!AE25+'磯崎海濱遊憩區(113年起停計)'!AE21+'花蓮海洋公園'!AE21+'花蓮遊客中心園區'!AE24</f>
        <v>1406963.29</v>
      </c>
      <c r="AI24" s="106">
        <f t="shared" si="6"/>
        <v>0.08856381649</v>
      </c>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92">
        <f t="shared" ref="AG25:AH25" si="7">SUM(AG23:AG24)</f>
        <v>1857931</v>
      </c>
      <c r="AH25" s="92">
        <f t="shared" si="7"/>
        <v>1789561.97</v>
      </c>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4.0"/>
    <col customWidth="1" min="2" max="3" width="9.11"/>
    <col customWidth="1" min="4" max="4" width="7.0"/>
    <col customWidth="1" min="5" max="26" width="6.78"/>
  </cols>
  <sheetData>
    <row r="1" ht="15.75" customHeight="1">
      <c r="A1" s="60" t="s">
        <v>70</v>
      </c>
      <c r="B1" s="61" t="s">
        <v>71</v>
      </c>
      <c r="C1" s="62" t="s">
        <v>72</v>
      </c>
    </row>
    <row r="2" ht="15.75" customHeight="1">
      <c r="A2" s="63"/>
      <c r="B2" s="64">
        <v>104.0</v>
      </c>
      <c r="C2" s="65">
        <v>112.0</v>
      </c>
    </row>
    <row r="3" ht="15.75" customHeight="1"/>
    <row r="4" ht="15.75" customHeight="1">
      <c r="A4" s="66" t="s">
        <v>73</v>
      </c>
      <c r="B4" s="67" t="s">
        <v>0</v>
      </c>
      <c r="C4" s="68"/>
    </row>
    <row r="5" ht="15.75" customHeight="1">
      <c r="A5" s="69"/>
      <c r="B5" s="70"/>
      <c r="C5" s="71"/>
    </row>
    <row r="6" ht="15.75" customHeight="1"/>
    <row r="7" ht="15.75" customHeight="1">
      <c r="A7" s="66" t="s">
        <v>74</v>
      </c>
      <c r="B7" s="72"/>
      <c r="C7" s="68"/>
    </row>
    <row r="8" ht="15.75" customHeight="1">
      <c r="A8" s="69"/>
      <c r="B8" s="70"/>
      <c r="C8" s="71"/>
    </row>
    <row r="9" ht="15.75" customHeight="1"/>
    <row r="10" ht="15.75" customHeight="1">
      <c r="A10" s="66" t="s">
        <v>75</v>
      </c>
      <c r="B10" s="73"/>
      <c r="C10" s="68"/>
    </row>
    <row r="11" ht="15.75" customHeight="1">
      <c r="A11" s="69"/>
      <c r="B11" s="70"/>
      <c r="C11" s="71"/>
    </row>
    <row r="12" ht="15.75" customHeight="1"/>
    <row r="13" ht="15.75" customHeight="1">
      <c r="A13" s="66" t="s">
        <v>76</v>
      </c>
      <c r="B13" s="73"/>
      <c r="C13" s="68"/>
    </row>
    <row r="14" ht="15.75" customHeight="1">
      <c r="A14" s="69"/>
      <c r="B14" s="70"/>
      <c r="C14" s="71"/>
    </row>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13:A14"/>
    <mergeCell ref="B13:C14"/>
    <mergeCell ref="A1:A2"/>
    <mergeCell ref="A4:A5"/>
    <mergeCell ref="B4:C5"/>
    <mergeCell ref="A7:A8"/>
    <mergeCell ref="B7:C8"/>
    <mergeCell ref="A10:A11"/>
    <mergeCell ref="B10:C11"/>
  </mergeCells>
  <dataValidations>
    <dataValidation type="list" allowBlank="1" showErrorMessage="1" sqref="B2:C2">
      <formula1>年份</formula1>
    </dataValidation>
    <dataValidation type="list" allowBlank="1" showErrorMessage="1" sqref="B4 B7 B10 B13">
      <formula1>分析據點</formula1>
    </dataValidation>
  </dataValidations>
  <printOptions/>
  <pageMargins bottom="0.75" footer="0.0" header="0.0" left="0.7000000000000001" right="0.7000000000000001"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3" width="9.67"/>
    <col customWidth="1" hidden="1" min="4" max="28" width="9.67"/>
    <col customWidth="1" min="29" max="37" width="9.67"/>
    <col customWidth="1" min="38" max="38" width="11.22"/>
    <col customWidth="1" min="39" max="44" width="9.67"/>
  </cols>
  <sheetData>
    <row r="1" ht="15.75" customHeight="1">
      <c r="A1" s="74" t="s">
        <v>77</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6"/>
      <c r="AH1" s="76"/>
      <c r="AI1" s="75"/>
      <c r="AJ1" s="75"/>
      <c r="AK1" s="75"/>
      <c r="AL1" s="75"/>
      <c r="AM1" s="75"/>
      <c r="AN1" s="75"/>
      <c r="AO1" s="75"/>
      <c r="AP1" s="75"/>
      <c r="AQ1" s="75"/>
      <c r="AR1" s="75"/>
    </row>
    <row r="2" ht="15.75" customHeight="1">
      <c r="A2" s="77" t="s">
        <v>78</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2" t="s">
        <v>81</v>
      </c>
      <c r="B5" s="83">
        <f>'綠島遊憩區'!B5+'東部海岸富岡地質公園及加路蘭休憩區'!B5+'水往上流遊憩區(113年起停計)'!B5+'都歷處本部'!B5+'三仙台遊憩區及周邊地區'!B5+'八仙洞遊憩區'!B5+'秀姑巒溪遊客中心園區'!B5+'石梯坪遊憩區'!B5+'磯崎海濱遊憩區(113年起停計)'!B5+'花蓮海洋公園'!B5+'花蓮遊客中心園區'!B5+'豐濱鄉親不知子海上古道及周邊地區'!B5</f>
        <v>183</v>
      </c>
      <c r="C5" s="83">
        <f>'綠島遊憩區'!C5+'東部海岸富岡地質公園及加路蘭休憩區'!C5+'水往上流遊憩區(113年起停計)'!C5+'都歷處本部'!C5+'三仙台遊憩區及周邊地區'!C5+'八仙洞遊憩區'!C5+'秀姑巒溪遊客中心園區'!C5+'石梯坪遊憩區'!C5+'磯崎海濱遊憩區(113年起停計)'!C5+'花蓮海洋公園'!C5+'花蓮遊客中心園區'!C5+'豐濱鄉親不知子海上古道及周邊地區'!C5</f>
        <v>312</v>
      </c>
      <c r="D5" s="83">
        <f>'綠島遊憩區'!D5+'東部海岸富岡地質公園及加路蘭休憩區'!D5+'水往上流遊憩區(113年起停計)'!D5+'都歷處本部'!D5+'三仙台遊憩區及周邊地區'!D5+'八仙洞遊憩區'!D5+'秀姑巒溪遊客中心園區'!D5+'石梯坪遊憩區'!D5+'磯崎海濱遊憩區(113年起停計)'!D5+'花蓮海洋公園'!D5+'花蓮遊客中心園區'!D5+'豐濱鄉親不知子海上古道及周邊地區'!D5</f>
        <v>101</v>
      </c>
      <c r="E5" s="83">
        <f>'綠島遊憩區'!E5+'東部海岸富岡地質公園及加路蘭休憩區'!E5+'水往上流遊憩區(113年起停計)'!E5+'都歷處本部'!E5+'三仙台遊憩區及周邊地區'!E5+'八仙洞遊憩區'!E5+'秀姑巒溪遊客中心園區'!E5+'石梯坪遊憩區'!E5+'磯崎海濱遊憩區(113年起停計)'!E5+'花蓮海洋公園'!E5+'花蓮遊客中心園區'!E5+'豐濱鄉親不知子海上古道及周邊地區'!E5</f>
        <v>21</v>
      </c>
      <c r="F5" s="83">
        <f>'綠島遊憩區'!F5+'東部海岸富岡地質公園及加路蘭休憩區'!F5+'水往上流遊憩區(113年起停計)'!F5+'都歷處本部'!F5+'三仙台遊憩區及周邊地區'!F5+'八仙洞遊憩區'!F5+'秀姑巒溪遊客中心園區'!F5+'石梯坪遊憩區'!F5+'磯崎海濱遊憩區(113年起停計)'!F5+'花蓮海洋公園'!F5+'花蓮遊客中心園區'!F5+'豐濱鄉親不知子海上古道及周邊地區'!F5</f>
        <v>142</v>
      </c>
      <c r="G5" s="83">
        <f>'綠島遊憩區'!G5+'東部海岸富岡地質公園及加路蘭休憩區'!G5+'水往上流遊憩區(113年起停計)'!G5+'都歷處本部'!G5+'三仙台遊憩區及周邊地區'!G5+'八仙洞遊憩區'!G5+'秀姑巒溪遊客中心園區'!G5+'石梯坪遊憩區'!G5+'磯崎海濱遊憩區(113年起停計)'!G5+'花蓮海洋公園'!G5+'花蓮遊客中心園區'!G5+'豐濱鄉親不知子海上古道及周邊地區'!G5</f>
        <v>114</v>
      </c>
      <c r="H5" s="83">
        <f>'綠島遊憩區'!H5+'東部海岸富岡地質公園及加路蘭休憩區'!H5+'水往上流遊憩區(113年起停計)'!H5+'都歷處本部'!H5+'三仙台遊憩區及周邊地區'!H5+'八仙洞遊憩區'!H5+'秀姑巒溪遊客中心園區'!H5+'石梯坪遊憩區'!H5+'磯崎海濱遊憩區(113年起停計)'!H5+'花蓮海洋公園'!H5+'花蓮遊客中心園區'!H5+'豐濱鄉親不知子海上古道及周邊地區'!H5</f>
        <v>443</v>
      </c>
      <c r="I5" s="83">
        <f>'綠島遊憩區'!I5+'東部海岸富岡地質公園及加路蘭休憩區'!I5+'水往上流遊憩區(113年起停計)'!I5+'都歷處本部'!I5+'三仙台遊憩區及周邊地區'!I5+'八仙洞遊憩區'!I5+'秀姑巒溪遊客中心園區'!I5+'石梯坪遊憩區'!I5+'磯崎海濱遊憩區(113年起停計)'!I5+'花蓮海洋公園'!I5+'花蓮遊客中心園區'!I5+'豐濱鄉親不知子海上古道及周邊地區'!I5</f>
        <v>709</v>
      </c>
      <c r="J5" s="83">
        <f>'綠島遊憩區'!J5+'東部海岸富岡地質公園及加路蘭休憩區'!J5+'水往上流遊憩區(113年起停計)'!J5+'都歷處本部'!J5+'三仙台遊憩區及周邊地區'!J5+'八仙洞遊憩區'!J5+'秀姑巒溪遊客中心園區'!J5+'石梯坪遊憩區'!J5+'磯崎海濱遊憩區(113年起停計)'!J5+'花蓮海洋公園'!J5+'花蓮遊客中心園區'!J5+'豐濱鄉親不知子海上古道及周邊地區'!J5</f>
        <v>1266</v>
      </c>
      <c r="K5" s="83">
        <f>'綠島遊憩區'!K5+'東部海岸富岡地質公園及加路蘭休憩區'!K5+'水往上流遊憩區(113年起停計)'!K5+'都歷處本部'!K5+'三仙台遊憩區及周邊地區'!K5+'八仙洞遊憩區'!K5+'秀姑巒溪遊客中心園區'!K5+'石梯坪遊憩區'!K5+'磯崎海濱遊憩區(113年起停計)'!K5+'花蓮海洋公園'!K5+'花蓮遊客中心園區'!K5+'豐濱鄉親不知子海上古道及周邊地區'!K5</f>
        <v>13749</v>
      </c>
      <c r="L5" s="83">
        <f>'綠島遊憩區'!L5+'東部海岸富岡地質公園及加路蘭休憩區'!L5+'水往上流遊憩區(113年起停計)'!L5+'都歷處本部'!L5+'三仙台遊憩區及周邊地區'!L5+'八仙洞遊憩區'!L5+'秀姑巒溪遊客中心園區'!L5+'石梯坪遊憩區'!L5+'磯崎海濱遊憩區(113年起停計)'!L5+'花蓮海洋公園'!L5+'花蓮遊客中心園區'!L5+'豐濱鄉親不知子海上古道及周邊地區'!L5</f>
        <v>11464</v>
      </c>
      <c r="M5" s="83">
        <f>'綠島遊憩區'!M5+'東部海岸富岡地質公園及加路蘭休憩區'!M5+'水往上流遊憩區(113年起停計)'!M5+'都歷處本部'!M5+'三仙台遊憩區及周邊地區'!M5+'八仙洞遊憩區'!M5+'秀姑巒溪遊客中心園區'!M5+'石梯坪遊憩區'!M5+'磯崎海濱遊憩區(113年起停計)'!M5+'花蓮海洋公園'!M5+'花蓮遊客中心園區'!M5+'豐濱鄉親不知子海上古道及周邊地區'!M5</f>
        <v>169611</v>
      </c>
      <c r="N5" s="83">
        <f>'綠島遊憩區'!N5+'東部海岸富岡地質公園及加路蘭休憩區'!N5+'水往上流遊憩區(113年起停計)'!N5+'都歷處本部'!N5+'三仙台遊憩區及周邊地區'!N5+'八仙洞遊憩區'!N5+'秀姑巒溪遊客中心園區'!N5+'石梯坪遊憩區'!N5+'磯崎海濱遊憩區(113年起停計)'!N5+'花蓮海洋公園'!N5+'花蓮遊客中心園區'!N5+'豐濱鄉親不知子海上古道及周邊地區'!N5</f>
        <v>209780</v>
      </c>
      <c r="O5" s="83">
        <f>'綠島遊憩區'!O5+'東部海岸富岡地質公園及加路蘭休憩區'!O5+'水往上流遊憩區(113年起停計)'!O5+'都歷處本部'!O5+'三仙台遊憩區及周邊地區'!O5+'八仙洞遊憩區'!O5+'秀姑巒溪遊客中心園區'!O5+'石梯坪遊憩區'!O5+'磯崎海濱遊憩區(113年起停計)'!O5+'花蓮海洋公園'!O5+'花蓮遊客中心園區'!O5+'豐濱鄉親不知子海上古道及周邊地區'!O5</f>
        <v>130946</v>
      </c>
      <c r="P5" s="83">
        <f>'綠島遊憩區'!P5+'東部海岸富岡地質公園及加路蘭休憩區'!P5+'水往上流遊憩區(113年起停計)'!P5+'都歷處本部'!P5+'三仙台遊憩區及周邊地區'!P5+'八仙洞遊憩區'!P5+'秀姑巒溪遊客中心園區'!P5+'石梯坪遊憩區'!P5+'磯崎海濱遊憩區(113年起停計)'!P5+'花蓮海洋公園'!P5+'花蓮遊客中心園區'!P5+'豐濱鄉親不知子海上古道及周邊地區'!P5</f>
        <v>175282</v>
      </c>
      <c r="Q5" s="83">
        <f>'綠島遊憩區'!Q5+'東部海岸富岡地質公園及加路蘭休憩區'!Q5+'水往上流遊憩區(113年起停計)'!Q5+'都歷處本部'!Q5+'三仙台遊憩區及周邊地區'!Q5+'八仙洞遊憩區'!Q5+'秀姑巒溪遊客中心園區'!Q5+'石梯坪遊憩區'!Q5+'磯崎海濱遊憩區(113年起停計)'!Q5+'花蓮海洋公園'!Q5+'花蓮遊客中心園區'!Q5+'豐濱鄉親不知子海上古道及周邊地區'!Q5</f>
        <v>286984</v>
      </c>
      <c r="R5" s="83">
        <f>'綠島遊憩區'!R5+'東部海岸富岡地質公園及加路蘭休憩區'!R5+'水往上流遊憩區(113年起停計)'!R5+'都歷處本部'!R5+'三仙台遊憩區及周邊地區'!R5+'八仙洞遊憩區'!R5+'秀姑巒溪遊客中心園區'!R5+'石梯坪遊憩區'!R5+'磯崎海濱遊憩區(113年起停計)'!R5+'花蓮海洋公園'!R5+'花蓮遊客中心園區'!R5+'豐濱鄉親不知子海上古道及周邊地區'!R5</f>
        <v>171323</v>
      </c>
      <c r="S5" s="83">
        <f>'綠島遊憩區'!S5+'東部海岸富岡地質公園及加路蘭休憩區'!S5+'水往上流遊憩區(113年起停計)'!S5+'都歷處本部'!S5+'三仙台遊憩區及周邊地區'!S5+'八仙洞遊憩區'!S5+'秀姑巒溪遊客中心園區'!S5+'石梯坪遊憩區'!S5+'磯崎海濱遊憩區(113年起停計)'!S5+'花蓮海洋公園'!S5+'花蓮遊客中心園區'!S5+'豐濱鄉親不知子海上古道及周邊地區'!S5</f>
        <v>196251</v>
      </c>
      <c r="T5" s="83">
        <f>'綠島遊憩區'!T5+'東部海岸富岡地質公園及加路蘭休憩區'!T5+'水往上流遊憩區(113年起停計)'!T5+'都歷處本部'!T5+'三仙台遊憩區及周邊地區'!T5+'八仙洞遊憩區'!T5+'秀姑巒溪遊客中心園區'!T5+'石梯坪遊憩區'!T5+'磯崎海濱遊憩區(113年起停計)'!T5+'花蓮海洋公園'!T5+'花蓮遊客中心園區'!T5+'豐濱鄉親不知子海上古道及周邊地區'!T5</f>
        <v>100300</v>
      </c>
      <c r="U5" s="83">
        <f>'綠島遊憩區'!U5+'東部海岸富岡地質公園及加路蘭休憩區'!U5+'水往上流遊憩區(113年起停計)'!U5+'都歷處本部'!U5+'三仙台遊憩區及周邊地區'!U5+'八仙洞遊憩區'!U5+'秀姑巒溪遊客中心園區'!U5+'石梯坪遊憩區'!U5+'磯崎海濱遊憩區(113年起停計)'!U5+'花蓮海洋公園'!U5+'花蓮遊客中心園區'!U5+'豐濱鄉親不知子海上古道及周邊地區'!U5</f>
        <v>115014</v>
      </c>
      <c r="V5" s="83">
        <f>'綠島遊憩區'!V5+'東部海岸富岡地質公園及加路蘭休憩區'!V5+'水往上流遊憩區(113年起停計)'!V5+'都歷處本部'!V5+'三仙台遊憩區及周邊地區'!V5+'八仙洞遊憩區'!V5+'秀姑巒溪遊客中心園區'!V5+'石梯坪遊憩區'!V5+'磯崎海濱遊憩區(113年起停計)'!V5+'花蓮海洋公園'!V5+'花蓮遊客中心園區'!V5+'豐濱鄉親不知子海上古道及周邊地區'!V5</f>
        <v>299496</v>
      </c>
      <c r="W5" s="83">
        <f>'綠島遊憩區'!W5+'東部海岸富岡地質公園及加路蘭休憩區'!W5+'水往上流遊憩區(113年起停計)'!W5+'都歷處本部'!W5+'三仙台遊憩區及周邊地區'!W5+'八仙洞遊憩區'!W5+'秀姑巒溪遊客中心園區'!W5+'石梯坪遊憩區'!W5+'磯崎海濱遊憩區(113年起停計)'!W5+'花蓮海洋公園'!W5+'花蓮遊客中心園區'!W5+'豐濱鄉親不知子海上古道及周邊地區'!W5</f>
        <v>164635</v>
      </c>
      <c r="X5" s="83">
        <f>'綠島遊憩區'!X5+'東部海岸富岡地質公園及加路蘭休憩區'!X5+'水往上流遊憩區(113年起停計)'!X5+'都歷處本部'!X5+'三仙台遊憩區及周邊地區'!X5+'八仙洞遊憩區'!X5+'秀姑巒溪遊客中心園區'!X5+'石梯坪遊憩區'!X5+'磯崎海濱遊憩區(113年起停計)'!X5+'花蓮海洋公園'!X5+'花蓮遊客中心園區'!X5+'豐濱鄉親不知子海上古道及周邊地區'!X5</f>
        <v>127641</v>
      </c>
      <c r="Y5" s="83">
        <f>'綠島遊憩區'!Y5+'東部海岸富岡地質公園及加路蘭休憩區'!Y5+'水往上流遊憩區(113年起停計)'!Y5+'都歷處本部'!Y5+'三仙台遊憩區及周邊地區'!Y5+'八仙洞遊憩區'!Y5+'秀姑巒溪遊客中心園區'!Y5+'石梯坪遊憩區'!Y5+'磯崎海濱遊憩區(113年起停計)'!Y5+'花蓮海洋公園'!Y5+'花蓮遊客中心園區'!Y5+'豐濱鄉親不知子海上古道及周邊地區'!Y5</f>
        <v>333331.88</v>
      </c>
      <c r="Z5" s="83">
        <f>'綠島遊憩區'!Z5+'東部海岸富岡地質公園及加路蘭休憩區'!Z5+'水往上流遊憩區(113年起停計)'!Z5+'都歷處本部'!Z5+'三仙台遊憩區及周邊地區'!Z5+'八仙洞遊憩區'!Z5+'秀姑巒溪遊客中心園區'!Z5+'石梯坪遊憩區'!Z5+'磯崎海濱遊憩區(113年起停計)'!Z5+'花蓮海洋公園'!Z5+'花蓮遊客中心園區'!Z5+'豐濱鄉親不知子海上古道及周邊地區'!Z5</f>
        <v>147939</v>
      </c>
      <c r="AA5" s="83">
        <f>'綠島遊憩區'!AA5+'東部海岸富岡地質公園及加路蘭休憩區'!AA5+'水往上流遊憩區(113年起停計)'!AA5+'都歷處本部'!AA5+'三仙台遊憩區及周邊地區'!AA5+'八仙洞遊憩區'!AA5+'秀姑巒溪遊客中心園區'!AA5+'石梯坪遊憩區'!AA5+'磯崎海濱遊憩區(113年起停計)'!AA5+'花蓮海洋公園'!AA5+'花蓮遊客中心園區'!AA5+'豐濱鄉親不知子海上古道及周邊地區'!AA5</f>
        <v>343161</v>
      </c>
      <c r="AB5" s="83">
        <f>'綠島遊憩區'!AB5+'東部海岸富岡地質公園及加路蘭休憩區'!AB5+'水往上流遊憩區(113年起停計)'!AB5+'都歷處本部'!AB5+'三仙台遊憩區及周邊地區'!AB5+'八仙洞遊憩區'!AB5+'秀姑巒溪遊客中心園區'!AB5+'石梯坪遊憩區'!AB5+'磯崎海濱遊憩區(113年起停計)'!AB5+'花蓮海洋公園'!AB5+'花蓮遊客中心園區'!AB5+'豐濱鄉親不知子海上古道及周邊地區'!AB5</f>
        <v>231773</v>
      </c>
      <c r="AC5" s="83">
        <f>'綠島遊憩區'!AC5+'東部海岸富岡地質公園及加路蘭休憩區'!AC5+'水往上流遊憩區(113年起停計)'!AC5+'都歷處本部'!AC5+'三仙台遊憩區及周邊地區'!AC5+'八仙洞遊憩區'!AC5+'秀姑巒溪遊客中心園區'!AC5+'石梯坪遊憩區'!AC5+'磯崎海濱遊憩區(113年起停計)'!AC5+'花蓮海洋公園'!AC5+'花蓮遊客中心園區'!AC5+'豐濱鄉親不知子海上古道及周邊地區'!AC5</f>
        <v>347750</v>
      </c>
      <c r="AD5" s="83">
        <f>'綠島遊憩區'!AD5+'東部海岸富岡地質公園及加路蘭休憩區'!AD5+'水往上流遊憩區(113年起停計)'!AD5+'都歷處本部'!AD5+'三仙台遊憩區及周邊地區'!AD5+'八仙洞遊憩區'!AD5+'秀姑巒溪遊客中心園區'!AD5+'石梯坪遊憩區'!AD5+'磯崎海濱遊憩區(113年起停計)'!AD5+'花蓮海洋公園'!AD5+'花蓮遊客中心園區'!AD5+'豐濱鄉親不知子海上古道及周邊地區'!AD5</f>
        <v>285473</v>
      </c>
      <c r="AE5" s="83">
        <f>'綠島遊憩區'!AE5+'東部海岸富岡地質公園及加路蘭休憩區'!AE5+'水往上流遊憩區(113年起停計)'!AE5+'都歷處本部'!AE5+'三仙台遊憩區及周邊地區'!AE5+'八仙洞遊憩區'!AE5+'秀姑巒溪遊客中心園區'!AE5+'石梯坪遊憩區'!AE5+'磯崎海濱遊憩區(113年起停計)'!AE5+'花蓮海洋公園'!AE5+'花蓮遊客中心園區'!AE5+'豐濱鄉親不知子海上古道及周邊地區'!AE5</f>
        <v>168812.68</v>
      </c>
      <c r="AF5" s="83">
        <f>'綠島遊憩區'!AF5+'東部海岸富岡地質公園及加路蘭休憩區'!AF5+'水往上流遊憩區(113年起停計)'!AF5+'都歷處本部'!AF5+'三仙台遊憩區及周邊地區'!AF5+'八仙洞遊憩區'!AF5+'秀姑巒溪遊客中心園區'!AF5+'石梯坪遊憩區'!AF5+'磯崎海濱遊憩區(113年起停計)'!AF5+'花蓮海洋公園'!AF5+'花蓮遊客中心園區'!AF5+'豐濱鄉親不知子海上古道及周邊地區'!AF5</f>
        <v>202826.16</v>
      </c>
      <c r="AG5" s="83">
        <f>'綠島遊憩區'!AG5+'東部海岸富岡地質公園及加路蘭休憩區'!AG5+'水往上流遊憩區(113年起停計)'!AG5+'都歷處本部'!AG5+'三仙台遊憩區及周邊地區'!AG5+'八仙洞遊憩區'!AG5+'秀姑巒溪遊客中心園區'!AG5+'石梯坪遊憩區'!AG5+'磯崎海濱遊憩區(113年起停計)'!AG5+'花蓮海洋公園'!AG5+'花蓮遊客中心園區'!AG5+'豐濱鄉親不知子海上古道及周邊地區'!AG5</f>
        <v>410332</v>
      </c>
      <c r="AH5" s="83">
        <f>'綠島遊憩區'!AH5+'東部海岸富岡地質公園及加路蘭休憩區'!AH5+'水往上流遊憩區(113年起停計)'!AH5+'都歷處本部'!AH5+'三仙台遊憩區及周邊地區'!AH5+'八仙洞遊憩區'!AH5+'秀姑巒溪遊客中心園區'!AH5+'石梯坪遊憩區'!AH5+'磯崎海濱遊憩區(113年起停計)'!AH5+'花蓮海洋公園'!AH5+'花蓮遊客中心園區'!AH5+'豐濱鄉親不知子海上古道及周邊地區'!AH5</f>
        <v>291147</v>
      </c>
      <c r="AI5" s="83">
        <f>'綠島遊憩區'!AI5+'東部海岸富岡地質公園及加路蘭休憩區'!AI5+'水往上流遊憩區(113年起停計)'!AI5+'都歷處本部'!AI5+'三仙台遊憩區及周邊地區'!AI5+'八仙洞遊憩區'!AI5+'秀姑巒溪遊客中心園區'!AI5+'石梯坪遊憩區'!AI5+'磯崎海濱遊憩區(113年起停計)'!AI5+'花蓮海洋公園'!AI5+'花蓮遊客中心園區'!AI5+'豐濱鄉親不知子海上古道及周邊地區'!AI5</f>
        <v>205908</v>
      </c>
      <c r="AJ5" s="83">
        <f>'綠島遊憩區'!AJ5+'東部海岸富岡地質公園及加路蘭休憩區'!AJ5+'水往上流遊憩區(113年起停計)'!AJ5+'都歷處本部'!AJ5+'三仙台遊憩區及周邊地區'!AJ5+'八仙洞遊憩區'!AJ5+'秀姑巒溪遊客中心園區'!AJ5+'石梯坪遊憩區'!AJ5+'磯崎海濱遊憩區(113年起停計)'!AJ5+'花蓮海洋公園'!AJ5+'花蓮遊客中心園區'!AJ5+'豐濱鄉親不知子海上古道及周邊地區'!AJ5</f>
        <v>299723</v>
      </c>
      <c r="AK5" s="83">
        <f>'綠島遊憩區'!AK5+'東部海岸富岡地質公園及加路蘭休憩區'!AK5+'都蘭遊憩區及周邊地區'!AK5+'都歷處本部'!AK5+'三仙台遊憩區及周邊地區'!AK5+'八仙洞遊憩區'!AK5+'秀姑巒溪遊客中心園區'!AK5+'石梯坪遊憩區'!AK5+'磯崎海濱遊憩區(113年起停計)'!AK5+'花蓮海洋公園'!AK5+'花蓮遊客中心園區'!AK5+'豐濱鄉親不知子海上古道及周邊地區'!AK5</f>
        <v>551019</v>
      </c>
      <c r="AL5" s="83">
        <f>'綠島遊憩區'!AL5+'東部海岸富岡地質公園及加路蘭休憩區'!AL5+'都蘭遊憩區及周邊地區'!AL5+'都歷處本部'!AL5+'三仙台遊憩區及周邊地區'!AL5+'八仙洞遊憩區'!AL5+'秀姑巒溪遊客中心園區'!AL5+'石梯坪遊憩區'!AL5+'磯崎海濱遊憩區(113年起停計)'!AL5+'花蓮海洋公園'!AL5+'花蓮遊客中心園區'!AL5+'豐濱鄉親不知子海上古道及周邊地區'!AL5</f>
        <v>659485</v>
      </c>
      <c r="AM5" s="83">
        <f>'綠島遊憩區'!AM5+'東部海岸富岡地質公園及加路蘭休憩區'!AM5+'都蘭遊憩區及周邊地區'!AM5+'都歷處本部'!AM5+'三仙台遊憩區及周邊地區'!AM5+'八仙洞遊憩區'!AM5+'秀姑巒溪遊客中心園區'!AM5+'石梯坪遊憩區'!AM5+'磯崎海濱遊憩區(113年起停計)'!AM5+'花蓮海洋公園'!AM5+'花蓮遊客中心園區'!AM5+'豐濱鄉親不知子海上古道及周邊地區'!AM5</f>
        <v>301753</v>
      </c>
      <c r="AN5" s="83">
        <f>'綠島遊憩區'!AN5+'東部海岸富岡地質公園及加路蘭休憩區'!AN5+'都蘭遊憩區及周邊地區'!AN5+'都歷處本部'!AN5+'三仙台遊憩區及周邊地區'!AN5+'八仙洞遊憩區'!AN5+'秀姑巒溪遊客中心園區'!AN5+'石梯坪遊憩區'!AN5+'磯崎海濱遊憩區(113年起停計)'!AN5+'花蓮海洋公園'!AN5+'花蓮遊客中心園區'!AN5+'豐濱鄉親不知子海上古道及周邊地區'!AN5</f>
        <v>0</v>
      </c>
      <c r="AO5" s="83">
        <f>'綠島遊憩區'!AO5+'東部海岸富岡地質公園及加路蘭休憩區'!AO5+'都蘭遊憩區及周邊地區'!AO5+'都歷處本部'!AO5+'三仙台遊憩區及周邊地區'!AO5+'八仙洞遊憩區'!AO5+'秀姑巒溪遊客中心園區'!AO5+'石梯坪遊憩區'!AO5+'磯崎海濱遊憩區(113年起停計)'!AO5+'花蓮海洋公園'!AO5+'花蓮遊客中心園區'!AO5+'豐濱鄉親不知子海上古道及周邊地區'!AO5</f>
        <v>0</v>
      </c>
      <c r="AP5" s="83">
        <f>'綠島遊憩區'!AP5+'東部海岸富岡地質公園及加路蘭休憩區'!AP5+'都蘭遊憩區及周邊地區'!AP5+'都歷處本部'!AP5+'三仙台遊憩區及周邊地區'!AP5+'八仙洞遊憩區'!AP5+'秀姑巒溪遊客中心園區'!AP5+'石梯坪遊憩區'!AP5+'磯崎海濱遊憩區(113年起停計)'!AP5+'花蓮海洋公園'!AP5+'花蓮遊客中心園區'!AP5+'豐濱鄉親不知子海上古道及周邊地區'!AP5</f>
        <v>0</v>
      </c>
      <c r="AQ5" s="83">
        <f>'綠島遊憩區'!AQ5+'東部海岸富岡地質公園及加路蘭休憩區'!AQ5+'都蘭遊憩區及周邊地區'!AQ5+'都歷處本部'!AQ5+'三仙台遊憩區及周邊地區'!AQ5+'八仙洞遊憩區'!AQ5+'秀姑巒溪遊客中心園區'!AQ5+'石梯坪遊憩區'!AQ5+'磯崎海濱遊憩區(113年起停計)'!AQ5+'花蓮海洋公園'!AQ5+'花蓮遊客中心園區'!AQ5+'豐濱鄉親不知子海上古道及周邊地區'!AQ5</f>
        <v>0</v>
      </c>
      <c r="AR5" s="84">
        <f>'綠島遊憩區'!AR5+'東部海岸富岡地質公園及加路蘭休憩區'!AR5+'都蘭遊憩區及周邊地區'!AR5+'都歷處本部'!AR5+'三仙台遊憩區及周邊地區'!AR5+'八仙洞遊憩區'!AR5+'秀姑巒溪遊客中心園區'!AR5+'石梯坪遊憩區'!AR5+'磯崎海濱遊憩區(113年起停計)'!AR5+'花蓮海洋公園'!AR5+'花蓮遊客中心園區'!AR5+'豐濱鄉親不知子海上古道及周邊地區'!AR5</f>
        <v>0</v>
      </c>
    </row>
    <row r="6" ht="15.75" customHeight="1">
      <c r="A6" s="82" t="s">
        <v>82</v>
      </c>
      <c r="B6" s="83">
        <f>'綠島遊憩區'!B6+'東部海岸富岡地質公園及加路蘭休憩區'!B6+'水往上流遊憩區(113年起停計)'!B6+'都歷處本部'!B6+'三仙台遊憩區及周邊地區'!B6+'八仙洞遊憩區'!B6+'秀姑巒溪遊客中心園區'!B6+'石梯坪遊憩區'!B6+'磯崎海濱遊憩區(113年起停計)'!B6+'花蓮海洋公園'!B6+'花蓮遊客中心園區'!B6+'豐濱鄉親不知子海上古道及周邊地區'!B6</f>
        <v>125</v>
      </c>
      <c r="C6" s="83">
        <f>'綠島遊憩區'!C6+'東部海岸富岡地質公園及加路蘭休憩區'!C6+'水往上流遊憩區(113年起停計)'!C6+'都歷處本部'!C6+'三仙台遊憩區及周邊地區'!C6+'八仙洞遊憩區'!C6+'秀姑巒溪遊客中心園區'!C6+'石梯坪遊憩區'!C6+'磯崎海濱遊憩區(113年起停計)'!C6+'花蓮海洋公園'!C6+'花蓮遊客中心園區'!C6+'豐濱鄉親不知子海上古道及周邊地區'!C6</f>
        <v>111</v>
      </c>
      <c r="D6" s="83">
        <f>'綠島遊憩區'!D6+'東部海岸富岡地質公園及加路蘭休憩區'!D6+'水往上流遊憩區(113年起停計)'!D6+'都歷處本部'!D6+'三仙台遊憩區及周邊地區'!D6+'八仙洞遊憩區'!D6+'秀姑巒溪遊客中心園區'!D6+'石梯坪遊憩區'!D6+'磯崎海濱遊憩區(113年起停計)'!D6+'花蓮海洋公園'!D6+'花蓮遊客中心園區'!D6+'豐濱鄉親不知子海上古道及周邊地區'!D6</f>
        <v>97</v>
      </c>
      <c r="E6" s="83">
        <f>'綠島遊憩區'!E6+'東部海岸富岡地質公園及加路蘭休憩區'!E6+'水往上流遊憩區(113年起停計)'!E6+'都歷處本部'!E6+'三仙台遊憩區及周邊地區'!E6+'八仙洞遊憩區'!E6+'秀姑巒溪遊客中心園區'!E6+'石梯坪遊憩區'!E6+'磯崎海濱遊憩區(113年起停計)'!E6+'花蓮海洋公園'!E6+'花蓮遊客中心園區'!E6+'豐濱鄉親不知子海上古道及周邊地區'!E6</f>
        <v>13</v>
      </c>
      <c r="F6" s="83">
        <f>'綠島遊憩區'!F6+'東部海岸富岡地質公園及加路蘭休憩區'!F6+'水往上流遊憩區(113年起停計)'!F6+'都歷處本部'!F6+'三仙台遊憩區及周邊地區'!F6+'八仙洞遊憩區'!F6+'秀姑巒溪遊客中心園區'!F6+'石梯坪遊憩區'!F6+'磯崎海濱遊憩區(113年起停計)'!F6+'花蓮海洋公園'!F6+'花蓮遊客中心園區'!F6+'豐濱鄉親不知子海上古道及周邊地區'!F6</f>
        <v>38</v>
      </c>
      <c r="G6" s="83">
        <f>'綠島遊憩區'!G6+'東部海岸富岡地質公園及加路蘭休憩區'!G6+'水往上流遊憩區(113年起停計)'!G6+'都歷處本部'!G6+'三仙台遊憩區及周邊地區'!G6+'八仙洞遊憩區'!G6+'秀姑巒溪遊客中心園區'!G6+'石梯坪遊憩區'!G6+'磯崎海濱遊憩區(113年起停計)'!G6+'花蓮海洋公園'!G6+'花蓮遊客中心園區'!G6+'豐濱鄉親不知子海上古道及周邊地區'!G6</f>
        <v>0</v>
      </c>
      <c r="H6" s="83">
        <f>'綠島遊憩區'!H6+'東部海岸富岡地質公園及加路蘭休憩區'!H6+'水往上流遊憩區(113年起停計)'!H6+'都歷處本部'!H6+'三仙台遊憩區及周邊地區'!H6+'八仙洞遊憩區'!H6+'秀姑巒溪遊客中心園區'!H6+'石梯坪遊憩區'!H6+'磯崎海濱遊憩區(113年起停計)'!H6+'花蓮海洋公園'!H6+'花蓮遊客中心園區'!H6+'豐濱鄉親不知子海上古道及周邊地區'!H6</f>
        <v>46</v>
      </c>
      <c r="I6" s="83">
        <f>'綠島遊憩區'!I6+'東部海岸富岡地質公園及加路蘭休憩區'!I6+'水往上流遊憩區(113年起停計)'!I6+'都歷處本部'!I6+'三仙台遊憩區及周邊地區'!I6+'八仙洞遊憩區'!I6+'秀姑巒溪遊客中心園區'!I6+'石梯坪遊憩區'!I6+'磯崎海濱遊憩區(113年起停計)'!I6+'花蓮海洋公園'!I6+'花蓮遊客中心園區'!I6+'豐濱鄉親不知子海上古道及周邊地區'!I6</f>
        <v>175</v>
      </c>
      <c r="J6" s="83">
        <f>'綠島遊憩區'!J6+'東部海岸富岡地質公園及加路蘭休憩區'!J6+'水往上流遊憩區(113年起停計)'!J6+'都歷處本部'!J6+'三仙台遊憩區及周邊地區'!J6+'八仙洞遊憩區'!J6+'秀姑巒溪遊客中心園區'!J6+'石梯坪遊憩區'!J6+'磯崎海濱遊憩區(113年起停計)'!J6+'花蓮海洋公園'!J6+'花蓮遊客中心園區'!J6+'豐濱鄉親不知子海上古道及周邊地區'!J6</f>
        <v>105</v>
      </c>
      <c r="K6" s="83">
        <f>'綠島遊憩區'!K6+'東部海岸富岡地質公園及加路蘭休憩區'!K6+'水往上流遊憩區(113年起停計)'!K6+'都歷處本部'!K6+'三仙台遊憩區及周邊地區'!K6+'八仙洞遊憩區'!K6+'秀姑巒溪遊客中心園區'!K6+'石梯坪遊憩區'!K6+'磯崎海濱遊憩區(113年起停計)'!K6+'花蓮海洋公園'!K6+'花蓮遊客中心園區'!K6+'豐濱鄉親不知子海上古道及周邊地區'!K6</f>
        <v>9856</v>
      </c>
      <c r="L6" s="83">
        <f>'綠島遊憩區'!L6+'東部海岸富岡地質公園及加路蘭休憩區'!L6+'水往上流遊憩區(113年起停計)'!L6+'都歷處本部'!L6+'三仙台遊憩區及周邊地區'!L6+'八仙洞遊憩區'!L6+'秀姑巒溪遊客中心園區'!L6+'石梯坪遊憩區'!L6+'磯崎海濱遊憩區(113年起停計)'!L6+'花蓮海洋公園'!L6+'花蓮遊客中心園區'!L6+'豐濱鄉親不知子海上古道及周邊地區'!L6</f>
        <v>13975</v>
      </c>
      <c r="M6" s="83">
        <f>'綠島遊憩區'!M6+'東部海岸富岡地質公園及加路蘭休憩區'!M6+'水往上流遊憩區(113年起停計)'!M6+'都歷處本部'!M6+'三仙台遊憩區及周邊地區'!M6+'八仙洞遊憩區'!M6+'秀姑巒溪遊客中心園區'!M6+'石梯坪遊憩區'!M6+'磯崎海濱遊憩區(113年起停計)'!M6+'花蓮海洋公園'!M6+'花蓮遊客中心園區'!M6+'豐濱鄉親不知子海上古道及周邊地區'!M6</f>
        <v>399193</v>
      </c>
      <c r="N6" s="83">
        <f>'綠島遊憩區'!N6+'東部海岸富岡地質公園及加路蘭休憩區'!N6+'水往上流遊憩區(113年起停計)'!N6+'都歷處本部'!N6+'三仙台遊憩區及周邊地區'!N6+'八仙洞遊憩區'!N6+'秀姑巒溪遊客中心園區'!N6+'石梯坪遊憩區'!N6+'磯崎海濱遊憩區(113年起停計)'!N6+'花蓮海洋公園'!N6+'花蓮遊客中心園區'!N6+'豐濱鄉親不知子海上古道及周邊地區'!N6</f>
        <v>161923</v>
      </c>
      <c r="O6" s="83">
        <f>'綠島遊憩區'!O6+'東部海岸富岡地質公園及加路蘭休憩區'!O6+'水往上流遊憩區(113年起停計)'!O6+'都歷處本部'!O6+'三仙台遊憩區及周邊地區'!O6+'八仙洞遊憩區'!O6+'秀姑巒溪遊客中心園區'!O6+'石梯坪遊憩區'!O6+'磯崎海濱遊憩區(113年起停計)'!O6+'花蓮海洋公園'!O6+'花蓮遊客中心園區'!O6+'豐濱鄉親不知子海上古道及周邊地區'!O6</f>
        <v>235377</v>
      </c>
      <c r="P6" s="83">
        <f>'綠島遊憩區'!P6+'東部海岸富岡地質公園及加路蘭休憩區'!P6+'水往上流遊憩區(113年起停計)'!P6+'都歷處本部'!P6+'三仙台遊憩區及周邊地區'!P6+'八仙洞遊憩區'!P6+'秀姑巒溪遊客中心園區'!P6+'石梯坪遊憩區'!P6+'磯崎海濱遊憩區(113年起停計)'!P6+'花蓮海洋公園'!P6+'花蓮遊客中心園區'!P6+'豐濱鄉親不知子海上古道及周邊地區'!P6</f>
        <v>417356</v>
      </c>
      <c r="Q6" s="83">
        <f>'綠島遊憩區'!Q6+'東部海岸富岡地質公園及加路蘭休憩區'!Q6+'水往上流遊憩區(113年起停計)'!Q6+'都歷處本部'!Q6+'三仙台遊憩區及周邊地區'!Q6+'八仙洞遊憩區'!Q6+'秀姑巒溪遊客中心園區'!Q6+'石梯坪遊憩區'!Q6+'磯崎海濱遊憩區(113年起停計)'!Q6+'花蓮海洋公園'!Q6+'花蓮遊客中心園區'!Q6+'豐濱鄉親不知子海上古道及周邊地區'!Q6</f>
        <v>182228</v>
      </c>
      <c r="R6" s="83">
        <f>'綠島遊憩區'!R6+'東部海岸富岡地質公園及加路蘭休憩區'!R6+'水往上流遊憩區(113年起停計)'!R6+'都歷處本部'!R6+'三仙台遊憩區及周邊地區'!R6+'八仙洞遊憩區'!R6+'秀姑巒溪遊客中心園區'!R6+'石梯坪遊憩區'!R6+'磯崎海濱遊憩區(113年起停計)'!R6+'花蓮海洋公園'!R6+'花蓮遊客中心園區'!R6+'豐濱鄉親不知子海上古道及周邊地區'!R6</f>
        <v>355876</v>
      </c>
      <c r="S6" s="83">
        <f>'綠島遊憩區'!S6+'東部海岸富岡地質公園及加路蘭休憩區'!S6+'水往上流遊憩區(113年起停計)'!S6+'都歷處本部'!S6+'三仙台遊憩區及周邊地區'!S6+'八仙洞遊憩區'!S6+'秀姑巒溪遊客中心園區'!S6+'石梯坪遊憩區'!S6+'磯崎海濱遊憩區(113年起停計)'!S6+'花蓮海洋公園'!S6+'花蓮遊客中心園區'!S6+'豐濱鄉親不知子海上古道及周邊地區'!S6</f>
        <v>302490</v>
      </c>
      <c r="T6" s="83">
        <f>'綠島遊憩區'!T6+'東部海岸富岡地質公園及加路蘭休憩區'!T6+'水往上流遊憩區(113年起停計)'!T6+'都歷處本部'!T6+'三仙台遊憩區及周邊地區'!T6+'八仙洞遊憩區'!T6+'秀姑巒溪遊客中心園區'!T6+'石梯坪遊憩區'!T6+'磯崎海濱遊憩區(113年起停計)'!T6+'花蓮海洋公園'!T6+'花蓮遊客中心園區'!T6+'豐濱鄉親不知子海上古道及周邊地區'!T6</f>
        <v>312141</v>
      </c>
      <c r="U6" s="83">
        <f>'綠島遊憩區'!U6+'東部海岸富岡地質公園及加路蘭休憩區'!U6+'水往上流遊憩區(113年起停計)'!U6+'都歷處本部'!U6+'三仙台遊憩區及周邊地區'!U6+'八仙洞遊憩區'!U6+'秀姑巒溪遊客中心園區'!U6+'石梯坪遊憩區'!U6+'磯崎海濱遊憩區(113年起停計)'!U6+'花蓮海洋公園'!U6+'花蓮遊客中心園區'!U6+'豐濱鄉親不知子海上古道及周邊地區'!U6</f>
        <v>211852</v>
      </c>
      <c r="V6" s="83">
        <f>'綠島遊憩區'!V6+'東部海岸富岡地質公園及加路蘭休憩區'!V6+'水往上流遊憩區(113年起停計)'!V6+'都歷處本部'!V6+'三仙台遊憩區及周邊地區'!V6+'八仙洞遊憩區'!V6+'秀姑巒溪遊客中心園區'!V6+'石梯坪遊憩區'!V6+'磯崎海濱遊憩區(113年起停計)'!V6+'花蓮海洋公園'!V6+'花蓮遊客中心園區'!V6+'豐濱鄉親不知子海上古道及周邊地區'!V6</f>
        <v>173607</v>
      </c>
      <c r="W6" s="83">
        <f>'綠島遊憩區'!W6+'東部海岸富岡地質公園及加路蘭休憩區'!W6+'水往上流遊憩區(113年起停計)'!W6+'都歷處本部'!W6+'三仙台遊憩區及周邊地區'!W6+'八仙洞遊憩區'!W6+'秀姑巒溪遊客中心園區'!W6+'石梯坪遊憩區'!W6+'磯崎海濱遊憩區(113年起停計)'!W6+'花蓮海洋公園'!W6+'花蓮遊客中心園區'!W6+'豐濱鄉親不知子海上古道及周邊地區'!W6</f>
        <v>342247</v>
      </c>
      <c r="X6" s="83">
        <f>'綠島遊憩區'!X6+'東部海岸富岡地質公園及加路蘭休憩區'!X6+'水往上流遊憩區(113年起停計)'!X6+'都歷處本部'!X6+'三仙台遊憩區及周邊地區'!X6+'八仙洞遊憩區'!X6+'秀姑巒溪遊客中心園區'!X6+'石梯坪遊憩區'!X6+'磯崎海濱遊憩區(113年起停計)'!X6+'花蓮海洋公園'!X6+'花蓮遊客中心園區'!X6+'豐濱鄉親不知子海上古道及周邊地區'!X6</f>
        <v>263845</v>
      </c>
      <c r="Y6" s="83">
        <f>'綠島遊憩區'!Y6+'東部海岸富岡地質公園及加路蘭休憩區'!Y6+'水往上流遊憩區(113年起停計)'!Y6+'都歷處本部'!Y6+'三仙台遊憩區及周邊地區'!Y6+'八仙洞遊憩區'!Y6+'秀姑巒溪遊客中心園區'!Y6+'石梯坪遊憩區'!Y6+'磯崎海濱遊憩區(113年起停計)'!Y6+'花蓮海洋公園'!Y6+'花蓮遊客中心園區'!Y6+'豐濱鄉親不知子海上古道及周邊地區'!Y6</f>
        <v>277882</v>
      </c>
      <c r="Z6" s="83">
        <f>'綠島遊憩區'!Z6+'東部海岸富岡地質公園及加路蘭休憩區'!Z6+'水往上流遊憩區(113年起停計)'!Z6+'都歷處本部'!Z6+'三仙台遊憩區及周邊地區'!Z6+'八仙洞遊憩區'!Z6+'秀姑巒溪遊客中心園區'!Z6+'石梯坪遊憩區'!Z6+'磯崎海濱遊憩區(113年起停計)'!Z6+'花蓮海洋公園'!Z6+'花蓮遊客中心園區'!Z6+'豐濱鄉親不知子海上古道及周邊地區'!Z6</f>
        <v>403954</v>
      </c>
      <c r="AA6" s="83">
        <f>'綠島遊憩區'!AA6+'東部海岸富岡地質公園及加路蘭休憩區'!AA6+'水往上流遊憩區(113年起停計)'!AA6+'都歷處本部'!AA6+'三仙台遊憩區及周邊地區'!AA6+'八仙洞遊憩區'!AA6+'秀姑巒溪遊客中心園區'!AA6+'石梯坪遊憩區'!AA6+'磯崎海濱遊憩區(113年起停計)'!AA6+'花蓮海洋公園'!AA6+'花蓮遊客中心園區'!AA6+'豐濱鄉親不知子海上古道及周邊地區'!AA6</f>
        <v>487985</v>
      </c>
      <c r="AB6" s="83">
        <f>'綠島遊憩區'!AB6+'東部海岸富岡地質公園及加路蘭休憩區'!AB6+'水往上流遊憩區(113年起停計)'!AB6+'都歷處本部'!AB6+'三仙台遊憩區及周邊地區'!AB6+'八仙洞遊憩區'!AB6+'秀姑巒溪遊客中心園區'!AB6+'石梯坪遊憩區'!AB6+'磯崎海濱遊憩區(113年起停計)'!AB6+'花蓮海洋公園'!AB6+'花蓮遊客中心園區'!AB6+'豐濱鄉親不知子海上古道及周邊地區'!AB6</f>
        <v>345405</v>
      </c>
      <c r="AC6" s="83">
        <f>'綠島遊憩區'!AC6+'東部海岸富岡地質公園及加路蘭休憩區'!AC6+'水往上流遊憩區(113年起停計)'!AC6+'都歷處本部'!AC6+'三仙台遊憩區及周邊地區'!AC6+'八仙洞遊憩區'!AC6+'秀姑巒溪遊客中心園區'!AC6+'石梯坪遊憩區'!AC6+'磯崎海濱遊憩區(113年起停計)'!AC6+'花蓮海洋公園'!AC6+'花蓮遊客中心園區'!AC6+'豐濱鄉親不知子海上古道及周邊地區'!AC6</f>
        <v>581082</v>
      </c>
      <c r="AD6" s="83">
        <f>'綠島遊憩區'!AD6+'東部海岸富岡地質公園及加路蘭休憩區'!AD6+'水往上流遊憩區(113年起停計)'!AD6+'都歷處本部'!AD6+'三仙台遊憩區及周邊地區'!AD6+'八仙洞遊憩區'!AD6+'秀姑巒溪遊客中心園區'!AD6+'石梯坪遊憩區'!AD6+'磯崎海濱遊憩區(113年起停計)'!AD6+'花蓮海洋公園'!AD6+'花蓮遊客中心園區'!AD6+'豐濱鄉親不知子海上古道及周邊地區'!AD6</f>
        <v>279963</v>
      </c>
      <c r="AE6" s="83">
        <f>'綠島遊憩區'!AE6+'東部海岸富岡地質公園及加路蘭休憩區'!AE6+'水往上流遊憩區(113年起停計)'!AE6+'都歷處本部'!AE6+'三仙台遊憩區及周邊地區'!AE6+'八仙洞遊憩區'!AE6+'秀姑巒溪遊客中心園區'!AE6+'石梯坪遊憩區'!AE6+'磯崎海濱遊憩區(113年起停計)'!AE6+'花蓮海洋公園'!AE6+'花蓮遊客中心園區'!AE6+'豐濱鄉親不知子海上古道及周邊地區'!AE6</f>
        <v>213786</v>
      </c>
      <c r="AF6" s="83">
        <f>'綠島遊憩區'!AF6+'東部海岸富岡地質公園及加路蘭休憩區'!AF6+'水往上流遊憩區(113年起停計)'!AF6+'都歷處本部'!AF6+'三仙台遊憩區及周邊地區'!AF6+'八仙洞遊憩區'!AF6+'秀姑巒溪遊客中心園區'!AF6+'石梯坪遊憩區'!AF6+'磯崎海濱遊憩區(113年起停計)'!AF6+'花蓮海洋公園'!AF6+'花蓮遊客中心園區'!AF6+'豐濱鄉親不知子海上古道及周邊地區'!AF6</f>
        <v>373552.3</v>
      </c>
      <c r="AG6" s="83">
        <f>'綠島遊憩區'!AG6+'東部海岸富岡地質公園及加路蘭休憩區'!AG6+'水往上流遊憩區(113年起停計)'!AG6+'都歷處本部'!AG6+'三仙台遊憩區及周邊地區'!AG6+'八仙洞遊憩區'!AG6+'秀姑巒溪遊客中心園區'!AG6+'石梯坪遊憩區'!AG6+'磯崎海濱遊憩區(113年起停計)'!AG6+'花蓮海洋公園'!AG6+'花蓮遊客中心園區'!AG6+'豐濱鄉親不知子海上古道及周邊地區'!AG6</f>
        <v>291305</v>
      </c>
      <c r="AH6" s="83">
        <f>'綠島遊憩區'!AH6+'東部海岸富岡地質公園及加路蘭休憩區'!AH6+'水往上流遊憩區(113年起停計)'!AH6+'都歷處本部'!AH6+'三仙台遊憩區及周邊地區'!AH6+'八仙洞遊憩區'!AH6+'秀姑巒溪遊客中心園區'!AH6+'石梯坪遊憩區'!AH6+'磯崎海濱遊憩區(113年起停計)'!AH6+'花蓮海洋公園'!AH6+'花蓮遊客中心園區'!AH6+'豐濱鄉親不知子海上古道及周邊地區'!AH6</f>
        <v>420950</v>
      </c>
      <c r="AI6" s="83">
        <f>'綠島遊憩區'!AI6+'東部海岸富岡地質公園及加路蘭休憩區'!AI6+'水往上流遊憩區(113年起停計)'!AI6+'都歷處本部'!AI6+'三仙台遊憩區及周邊地區'!AI6+'八仙洞遊憩區'!AI6+'秀姑巒溪遊客中心園區'!AI6+'石梯坪遊憩區'!AI6+'磯崎海濱遊憩區(113年起停計)'!AI6+'花蓮海洋公園'!AI6+'花蓮遊客中心園區'!AI6+'豐濱鄉親不知子海上古道及周邊地區'!AI6</f>
        <v>318273</v>
      </c>
      <c r="AJ6" s="83">
        <f>'綠島遊憩區'!AJ6+'東部海岸富岡地質公園及加路蘭休憩區'!AJ6+'水往上流遊憩區(113年起停計)'!AJ6+'都歷處本部'!AJ6+'三仙台遊憩區及周邊地區'!AJ6+'八仙洞遊憩區'!AJ6+'秀姑巒溪遊客中心園區'!AJ6+'石梯坪遊憩區'!AJ6+'磯崎海濱遊憩區(113年起停計)'!AJ6+'花蓮海洋公園'!AJ6+'花蓮遊客中心園區'!AJ6+'豐濱鄉親不知子海上古道及周邊地區'!AJ6</f>
        <v>224292</v>
      </c>
      <c r="AK6" s="83">
        <f>'綠島遊憩區'!AK6+'東部海岸富岡地質公園及加路蘭休憩區'!AK6+'都蘭遊憩區及周邊地區'!AK6+'都歷處本部'!AK6+'三仙台遊憩區及周邊地區'!AK6+'八仙洞遊憩區'!AK6+'秀姑巒溪遊客中心園區'!AK6+'石梯坪遊憩區'!AK6+'磯崎海濱遊憩區(113年起停計)'!AK6+'花蓮海洋公園'!AK6+'花蓮遊客中心園區'!AK6+'豐濱鄉親不知子海上古道及周邊地區'!AK6</f>
        <v>757473</v>
      </c>
      <c r="AL6" s="83">
        <f>'綠島遊憩區'!AL6+'東部海岸富岡地質公園及加路蘭休憩區'!AL6+'都蘭遊憩區及周邊地區'!AL6+'都歷處本部'!AL6+'三仙台遊憩區及周邊地區'!AL6+'八仙洞遊憩區'!AL6+'秀姑巒溪遊客中心園區'!AL6+'石梯坪遊憩區'!AL6+'磯崎海濱遊憩區(113年起停計)'!AL6+'花蓮海洋公園'!AL6+'花蓮遊客中心園區'!AL6+'豐濱鄉親不知子海上古道及周邊地區'!AL6</f>
        <v>499413</v>
      </c>
      <c r="AM6" s="83">
        <f>'綠島遊憩區'!AM6+'東部海岸富岡地質公園及加路蘭休憩區'!AM6+'都蘭遊憩區及周邊地區'!AM6+'都歷處本部'!AM6+'三仙台遊憩區及周邊地區'!AM6+'八仙洞遊憩區'!AM6+'秀姑巒溪遊客中心園區'!AM6+'石梯坪遊憩區'!AM6+'磯崎海濱遊憩區(113年起停計)'!AM6+'花蓮海洋公園'!AM6+'花蓮遊客中心園區'!AM6+'豐濱鄉親不知子海上古道及周邊地區'!AM6</f>
        <v>440076</v>
      </c>
      <c r="AN6" s="83">
        <f>'綠島遊憩區'!AN6+'東部海岸富岡地質公園及加路蘭休憩區'!AN6+'都蘭遊憩區及周邊地區'!AN6+'都歷處本部'!AN6+'三仙台遊憩區及周邊地區'!AN6+'八仙洞遊憩區'!AN6+'秀姑巒溪遊客中心園區'!AN6+'石梯坪遊憩區'!AN6+'磯崎海濱遊憩區(113年起停計)'!AN6+'花蓮海洋公園'!AN6+'花蓮遊客中心園區'!AN6+'豐濱鄉親不知子海上古道及周邊地區'!AN6</f>
        <v>0</v>
      </c>
      <c r="AO6" s="83">
        <f>'綠島遊憩區'!AO6+'東部海岸富岡地質公園及加路蘭休憩區'!AO6+'都蘭遊憩區及周邊地區'!AO6+'都歷處本部'!AO6+'三仙台遊憩區及周邊地區'!AO6+'八仙洞遊憩區'!AO6+'秀姑巒溪遊客中心園區'!AO6+'石梯坪遊憩區'!AO6+'磯崎海濱遊憩區(113年起停計)'!AO6+'花蓮海洋公園'!AO6+'花蓮遊客中心園區'!AO6+'豐濱鄉親不知子海上古道及周邊地區'!AO6</f>
        <v>0</v>
      </c>
      <c r="AP6" s="83">
        <f>'綠島遊憩區'!AP6+'東部海岸富岡地質公園及加路蘭休憩區'!AP6+'都蘭遊憩區及周邊地區'!AP6+'都歷處本部'!AP6+'三仙台遊憩區及周邊地區'!AP6+'八仙洞遊憩區'!AP6+'秀姑巒溪遊客中心園區'!AP6+'石梯坪遊憩區'!AP6+'磯崎海濱遊憩區(113年起停計)'!AP6+'花蓮海洋公園'!AP6+'花蓮遊客中心園區'!AP6+'豐濱鄉親不知子海上古道及周邊地區'!AP6</f>
        <v>0</v>
      </c>
      <c r="AQ6" s="83">
        <f>'綠島遊憩區'!AQ6+'東部海岸富岡地質公園及加路蘭休憩區'!AQ6+'都蘭遊憩區及周邊地區'!AQ6+'都歷處本部'!AQ6+'三仙台遊憩區及周邊地區'!AQ6+'八仙洞遊憩區'!AQ6+'秀姑巒溪遊客中心園區'!AQ6+'石梯坪遊憩區'!AQ6+'磯崎海濱遊憩區(113年起停計)'!AQ6+'花蓮海洋公園'!AQ6+'花蓮遊客中心園區'!AQ6+'豐濱鄉親不知子海上古道及周邊地區'!AQ6</f>
        <v>0</v>
      </c>
      <c r="AR6" s="84">
        <f>'綠島遊憩區'!AR6+'東部海岸富岡地質公園及加路蘭休憩區'!AR6+'都蘭遊憩區及周邊地區'!AR6+'都歷處本部'!AR6+'三仙台遊憩區及周邊地區'!AR6+'八仙洞遊憩區'!AR6+'秀姑巒溪遊客中心園區'!AR6+'石梯坪遊憩區'!AR6+'磯崎海濱遊憩區(113年起停計)'!AR6+'花蓮海洋公園'!AR6+'花蓮遊客中心園區'!AR6+'豐濱鄉親不知子海上古道及周邊地區'!AR6</f>
        <v>0</v>
      </c>
    </row>
    <row r="7" ht="15.75" customHeight="1">
      <c r="A7" s="82" t="s">
        <v>83</v>
      </c>
      <c r="B7" s="83">
        <f>'綠島遊憩區'!B7+'東部海岸富岡地質公園及加路蘭休憩區'!B7+'水往上流遊憩區(113年起停計)'!B7+'都歷處本部'!B7+'三仙台遊憩區及周邊地區'!B7+'八仙洞遊憩區'!B7+'秀姑巒溪遊客中心園區'!B7+'石梯坪遊憩區'!B7+'磯崎海濱遊憩區(113年起停計)'!B7+'花蓮海洋公園'!B7+'花蓮遊客中心園區'!B7+'豐濱鄉親不知子海上古道及周邊地區'!B7</f>
        <v>658</v>
      </c>
      <c r="C7" s="83">
        <f>'綠島遊憩區'!C7+'東部海岸富岡地質公園及加路蘭休憩區'!C7+'水往上流遊憩區(113年起停計)'!C7+'都歷處本部'!C7+'三仙台遊憩區及周邊地區'!C7+'八仙洞遊憩區'!C7+'秀姑巒溪遊客中心園區'!C7+'石梯坪遊憩區'!C7+'磯崎海濱遊憩區(113年起停計)'!C7+'花蓮海洋公園'!C7+'花蓮遊客中心園區'!C7+'豐濱鄉親不知子海上古道及周邊地區'!C7</f>
        <v>594</v>
      </c>
      <c r="D7" s="83">
        <f>'綠島遊憩區'!D7+'東部海岸富岡地質公園及加路蘭休憩區'!D7+'水往上流遊憩區(113年起停計)'!D7+'都歷處本部'!D7+'三仙台遊憩區及周邊地區'!D7+'八仙洞遊憩區'!D7+'秀姑巒溪遊客中心園區'!D7+'石梯坪遊憩區'!D7+'磯崎海濱遊憩區(113年起停計)'!D7+'花蓮海洋公園'!D7+'花蓮遊客中心園區'!D7+'豐濱鄉親不知子海上古道及周邊地區'!D7</f>
        <v>855</v>
      </c>
      <c r="E7" s="83">
        <f>'綠島遊憩區'!E7+'東部海岸富岡地質公園及加路蘭休憩區'!E7+'水往上流遊憩區(113年起停計)'!E7+'都歷處本部'!E7+'三仙台遊憩區及周邊地區'!E7+'八仙洞遊憩區'!E7+'秀姑巒溪遊客中心園區'!E7+'石梯坪遊憩區'!E7+'磯崎海濱遊憩區(113年起停計)'!E7+'花蓮海洋公園'!E7+'花蓮遊客中心園區'!E7+'豐濱鄉親不知子海上古道及周邊地區'!E7</f>
        <v>478</v>
      </c>
      <c r="F7" s="83">
        <f>'綠島遊憩區'!F7+'東部海岸富岡地質公園及加路蘭休憩區'!F7+'水往上流遊憩區(113年起停計)'!F7+'都歷處本部'!F7+'三仙台遊憩區及周邊地區'!F7+'八仙洞遊憩區'!F7+'秀姑巒溪遊客中心園區'!F7+'石梯坪遊憩區'!F7+'磯崎海濱遊憩區(113年起停計)'!F7+'花蓮海洋公園'!F7+'花蓮遊客中心園區'!F7+'豐濱鄉親不知子海上古道及周邊地區'!F7</f>
        <v>327</v>
      </c>
      <c r="G7" s="83">
        <f>'綠島遊憩區'!G7+'東部海岸富岡地質公園及加路蘭休憩區'!G7+'水往上流遊憩區(113年起停計)'!G7+'都歷處本部'!G7+'三仙台遊憩區及周邊地區'!G7+'八仙洞遊憩區'!G7+'秀姑巒溪遊客中心園區'!G7+'石梯坪遊憩區'!G7+'磯崎海濱遊憩區(113年起停計)'!G7+'花蓮海洋公園'!G7+'花蓮遊客中心園區'!G7+'豐濱鄉親不知子海上古道及周邊地區'!G7</f>
        <v>72</v>
      </c>
      <c r="H7" s="83">
        <f>'綠島遊憩區'!H7+'東部海岸富岡地質公園及加路蘭休憩區'!H7+'水往上流遊憩區(113年起停計)'!H7+'都歷處本部'!H7+'三仙台遊憩區及周邊地區'!H7+'八仙洞遊憩區'!H7+'秀姑巒溪遊客中心園區'!H7+'石梯坪遊憩區'!H7+'磯崎海濱遊憩區(113年起停計)'!H7+'花蓮海洋公園'!H7+'花蓮遊客中心園區'!H7+'豐濱鄉親不知子海上古道及周邊地區'!H7</f>
        <v>183</v>
      </c>
      <c r="I7" s="83">
        <f>'綠島遊憩區'!I7+'東部海岸富岡地質公園及加路蘭休憩區'!I7+'水往上流遊憩區(113年起停計)'!I7+'都歷處本部'!I7+'三仙台遊憩區及周邊地區'!I7+'八仙洞遊憩區'!I7+'秀姑巒溪遊客中心園區'!I7+'石梯坪遊憩區'!I7+'磯崎海濱遊憩區(113年起停計)'!I7+'花蓮海洋公園'!I7+'花蓮遊客中心園區'!I7+'豐濱鄉親不知子海上古道及周邊地區'!I7</f>
        <v>231</v>
      </c>
      <c r="J7" s="83">
        <f>'綠島遊憩區'!J7+'東部海岸富岡地質公園及加路蘭休憩區'!J7+'水往上流遊憩區(113年起停計)'!J7+'都歷處本部'!J7+'三仙台遊憩區及周邊地區'!J7+'八仙洞遊憩區'!J7+'秀姑巒溪遊客中心園區'!J7+'石梯坪遊憩區'!J7+'磯崎海濱遊憩區(113年起停計)'!J7+'花蓮海洋公園'!J7+'花蓮遊客中心園區'!J7+'豐濱鄉親不知子海上古道及周邊地區'!J7</f>
        <v>609</v>
      </c>
      <c r="K7" s="83">
        <f>'綠島遊憩區'!K7+'東部海岸富岡地質公園及加路蘭休憩區'!K7+'水往上流遊憩區(113年起停計)'!K7+'都歷處本部'!K7+'三仙台遊憩區及周邊地區'!K7+'八仙洞遊憩區'!K7+'秀姑巒溪遊客中心園區'!K7+'石梯坪遊憩區'!K7+'磯崎海濱遊憩區(113年起停計)'!K7+'花蓮海洋公園'!K7+'花蓮遊客中心園區'!K7+'豐濱鄉親不知子海上古道及周邊地區'!K7</f>
        <v>13496</v>
      </c>
      <c r="L7" s="83">
        <f>'綠島遊憩區'!L7+'東部海岸富岡地質公園及加路蘭休憩區'!L7+'水往上流遊憩區(113年起停計)'!L7+'都歷處本部'!L7+'三仙台遊憩區及周邊地區'!L7+'八仙洞遊憩區'!L7+'秀姑巒溪遊客中心園區'!L7+'石梯坪遊憩區'!L7+'磯崎海濱遊憩區(113年起停計)'!L7+'花蓮海洋公園'!L7+'花蓮遊客中心園區'!L7+'豐濱鄉親不知子海上古道及周邊地區'!L7</f>
        <v>18920</v>
      </c>
      <c r="M7" s="83">
        <f>'綠島遊憩區'!M7+'東部海岸富岡地質公園及加路蘭休憩區'!M7+'水往上流遊憩區(113年起停計)'!M7+'都歷處本部'!M7+'三仙台遊憩區及周邊地區'!M7+'八仙洞遊憩區'!M7+'秀姑巒溪遊客中心園區'!M7+'石梯坪遊憩區'!M7+'磯崎海濱遊憩區(113年起停計)'!M7+'花蓮海洋公園'!M7+'花蓮遊客中心園區'!M7+'豐濱鄉親不知子海上古道及周邊地區'!M7</f>
        <v>175316</v>
      </c>
      <c r="N7" s="83">
        <f>'綠島遊憩區'!N7+'東部海岸富岡地質公園及加路蘭休憩區'!N7+'水往上流遊憩區(113年起停計)'!N7+'都歷處本部'!N7+'三仙台遊憩區及周邊地區'!N7+'八仙洞遊憩區'!N7+'秀姑巒溪遊客中心園區'!N7+'石梯坪遊憩區'!N7+'磯崎海濱遊憩區(113年起停計)'!N7+'花蓮海洋公園'!N7+'花蓮遊客中心園區'!N7+'豐濱鄉親不知子海上古道及周邊地區'!N7</f>
        <v>163719</v>
      </c>
      <c r="O7" s="83">
        <f>'綠島遊憩區'!O7+'東部海岸富岡地質公園及加路蘭休憩區'!O7+'水往上流遊憩區(113年起停計)'!O7+'都歷處本部'!O7+'三仙台遊憩區及周邊地區'!O7+'八仙洞遊憩區'!O7+'秀姑巒溪遊客中心園區'!O7+'石梯坪遊憩區'!O7+'磯崎海濱遊憩區(113年起停計)'!O7+'花蓮海洋公園'!O7+'花蓮遊客中心園區'!O7+'豐濱鄉親不知子海上古道及周邊地區'!O7</f>
        <v>175502</v>
      </c>
      <c r="P7" s="83">
        <f>'綠島遊憩區'!P7+'東部海岸富岡地質公園及加路蘭休憩區'!P7+'水往上流遊憩區(113年起停計)'!P7+'都歷處本部'!P7+'三仙台遊憩區及周邊地區'!P7+'八仙洞遊憩區'!P7+'秀姑巒溪遊客中心園區'!P7+'石梯坪遊憩區'!P7+'磯崎海濱遊憩區(113年起停計)'!P7+'花蓮海洋公園'!P7+'花蓮遊客中心園區'!P7+'豐濱鄉親不知子海上古道及周邊地區'!P7</f>
        <v>238164</v>
      </c>
      <c r="Q7" s="83">
        <f>'綠島遊憩區'!Q7+'東部海岸富岡地質公園及加路蘭休憩區'!Q7+'水往上流遊憩區(113年起停計)'!Q7+'都歷處本部'!Q7+'三仙台遊憩區及周邊地區'!Q7+'八仙洞遊憩區'!Q7+'秀姑巒溪遊客中心園區'!Q7+'石梯坪遊憩區'!Q7+'磯崎海濱遊憩區(113年起停計)'!Q7+'花蓮海洋公園'!Q7+'花蓮遊客中心園區'!Q7+'豐濱鄉親不知子海上古道及周邊地區'!Q7</f>
        <v>168942</v>
      </c>
      <c r="R7" s="83">
        <f>'綠島遊憩區'!R7+'東部海岸富岡地質公園及加路蘭休憩區'!R7+'水往上流遊憩區(113年起停計)'!R7+'都歷處本部'!R7+'三仙台遊憩區及周邊地區'!R7+'八仙洞遊憩區'!R7+'秀姑巒溪遊客中心園區'!R7+'石梯坪遊憩區'!R7+'磯崎海濱遊憩區(113年起停計)'!R7+'花蓮海洋公園'!R7+'花蓮遊客中心園區'!R7+'豐濱鄉親不知子海上古道及周邊地區'!R7</f>
        <v>176390</v>
      </c>
      <c r="S7" s="83">
        <f>'綠島遊憩區'!S7+'東部海岸富岡地質公園及加路蘭休憩區'!S7+'水往上流遊憩區(113年起停計)'!S7+'都歷處本部'!S7+'三仙台遊憩區及周邊地區'!S7+'八仙洞遊憩區'!S7+'秀姑巒溪遊客中心園區'!S7+'石梯坪遊憩區'!S7+'磯崎海濱遊憩區(113年起停計)'!S7+'花蓮海洋公園'!S7+'花蓮遊客中心園區'!S7+'豐濱鄉親不知子海上古道及周邊地區'!S7</f>
        <v>163277</v>
      </c>
      <c r="T7" s="83">
        <f>'綠島遊憩區'!T7+'東部海岸富岡地質公園及加路蘭休憩區'!T7+'水往上流遊憩區(113年起停計)'!T7+'都歷處本部'!T7+'三仙台遊憩區及周邊地區'!T7+'八仙洞遊憩區'!T7+'秀姑巒溪遊客中心園區'!T7+'石梯坪遊憩區'!T7+'磯崎海濱遊憩區(113年起停計)'!T7+'花蓮海洋公園'!T7+'花蓮遊客中心園區'!T7+'豐濱鄉親不知子海上古道及周邊地區'!T7</f>
        <v>140567</v>
      </c>
      <c r="U7" s="83">
        <f>'綠島遊憩區'!U7+'東部海岸富岡地質公園及加路蘭休憩區'!U7+'水往上流遊憩區(113年起停計)'!U7+'都歷處本部'!U7+'三仙台遊憩區及周邊地區'!U7+'八仙洞遊憩區'!U7+'秀姑巒溪遊客中心園區'!U7+'石梯坪遊憩區'!U7+'磯崎海濱遊憩區(113年起停計)'!U7+'花蓮海洋公園'!U7+'花蓮遊客中心園區'!U7+'豐濱鄉親不知子海上古道及周邊地區'!U7</f>
        <v>130085</v>
      </c>
      <c r="V7" s="83">
        <f>'綠島遊憩區'!V7+'東部海岸富岡地質公園及加路蘭休憩區'!V7+'水往上流遊憩區(113年起停計)'!V7+'都歷處本部'!V7+'三仙台遊憩區及周邊地區'!V7+'八仙洞遊憩區'!V7+'秀姑巒溪遊客中心園區'!V7+'石梯坪遊憩區'!V7+'磯崎海濱遊憩區(113年起停計)'!V7+'花蓮海洋公園'!V7+'花蓮遊客中心園區'!V7+'豐濱鄉親不知子海上古道及周邊地區'!V7</f>
        <v>183019</v>
      </c>
      <c r="W7" s="83">
        <f>'綠島遊憩區'!W7+'東部海岸富岡地質公園及加路蘭休憩區'!W7+'水往上流遊憩區(113年起停計)'!W7+'都歷處本部'!W7+'三仙台遊憩區及周邊地區'!W7+'八仙洞遊憩區'!W7+'秀姑巒溪遊客中心園區'!W7+'石梯坪遊憩區'!W7+'磯崎海濱遊憩區(113年起停計)'!W7+'花蓮海洋公園'!W7+'花蓮遊客中心園區'!W7+'豐濱鄉親不知子海上古道及周邊地區'!W7</f>
        <v>214831</v>
      </c>
      <c r="X7" s="83">
        <f>'綠島遊憩區'!X7+'東部海岸富岡地質公園及加路蘭休憩區'!X7+'水往上流遊憩區(113年起停計)'!X7+'都歷處本部'!X7+'三仙台遊憩區及周邊地區'!X7+'八仙洞遊憩區'!X7+'秀姑巒溪遊客中心園區'!X7+'石梯坪遊憩區'!X7+'磯崎海濱遊憩區(113年起停計)'!X7+'花蓮海洋公園'!X7+'花蓮遊客中心園區'!X7+'豐濱鄉親不知子海上古道及周邊地區'!X7</f>
        <v>181650</v>
      </c>
      <c r="Y7" s="83">
        <f>'綠島遊憩區'!Y7+'東部海岸富岡地質公園及加路蘭休憩區'!Y7+'水往上流遊憩區(113年起停計)'!Y7+'都歷處本部'!Y7+'三仙台遊憩區及周邊地區'!Y7+'八仙洞遊憩區'!Y7+'秀姑巒溪遊客中心園區'!Y7+'石梯坪遊憩區'!Y7+'磯崎海濱遊憩區(113年起停計)'!Y7+'花蓮海洋公園'!Y7+'花蓮遊客中心園區'!Y7+'豐濱鄉親不知子海上古道及周邊地區'!Y7</f>
        <v>272111</v>
      </c>
      <c r="Z7" s="83">
        <f>'綠島遊憩區'!Z7+'東部海岸富岡地質公園及加路蘭休憩區'!Z7+'水往上流遊憩區(113年起停計)'!Z7+'都歷處本部'!Z7+'三仙台遊憩區及周邊地區'!Z7+'八仙洞遊憩區'!Z7+'秀姑巒溪遊客中心園區'!Z7+'石梯坪遊憩區'!Z7+'磯崎海濱遊憩區(113年起停計)'!Z7+'花蓮海洋公園'!Z7+'花蓮遊客中心園區'!Z7+'豐濱鄉親不知子海上古道及周邊地區'!Z7</f>
        <v>271677</v>
      </c>
      <c r="AA7" s="83">
        <f>'綠島遊憩區'!AA7+'東部海岸富岡地質公園及加路蘭休憩區'!AA7+'水往上流遊憩區(113年起停計)'!AA7+'都歷處本部'!AA7+'三仙台遊憩區及周邊地區'!AA7+'八仙洞遊憩區'!AA7+'秀姑巒溪遊客中心園區'!AA7+'石梯坪遊憩區'!AA7+'磯崎海濱遊憩區(113年起停計)'!AA7+'花蓮海洋公園'!AA7+'花蓮遊客中心園區'!AA7+'豐濱鄉親不知子海上古道及周邊地區'!AA7</f>
        <v>586082</v>
      </c>
      <c r="AB7" s="83">
        <f>'綠島遊憩區'!AB7+'東部海岸富岡地質公園及加路蘭休憩區'!AB7+'水往上流遊憩區(113年起停計)'!AB7+'都歷處本部'!AB7+'三仙台遊憩區及周邊地區'!AB7+'八仙洞遊憩區'!AB7+'秀姑巒溪遊客中心園區'!AB7+'石梯坪遊憩區'!AB7+'磯崎海濱遊憩區(113年起停計)'!AB7+'花蓮海洋公園'!AB7+'花蓮遊客中心園區'!AB7+'豐濱鄉親不知子海上古道及周邊地區'!AB7</f>
        <v>226888</v>
      </c>
      <c r="AC7" s="83">
        <f>'綠島遊憩區'!AC7+'東部海岸富岡地質公園及加路蘭休憩區'!AC7+'水往上流遊憩區(113年起停計)'!AC7+'都歷處本部'!AC7+'三仙台遊憩區及周邊地區'!AC7+'八仙洞遊憩區'!AC7+'秀姑巒溪遊客中心園區'!AC7+'石梯坪遊憩區'!AC7+'磯崎海濱遊憩區(113年起停計)'!AC7+'花蓮海洋公園'!AC7+'花蓮遊客中心園區'!AC7+'豐濱鄉親不知子海上古道及周邊地區'!AC7</f>
        <v>356260</v>
      </c>
      <c r="AD7" s="83">
        <f>'綠島遊憩區'!AD7+'東部海岸富岡地質公園及加路蘭休憩區'!AD7+'水往上流遊憩區(113年起停計)'!AD7+'都歷處本部'!AD7+'三仙台遊憩區及周邊地區'!AD7+'八仙洞遊憩區'!AD7+'秀姑巒溪遊客中心園區'!AD7+'石梯坪遊憩區'!AD7+'磯崎海濱遊憩區(113年起停計)'!AD7+'花蓮海洋公園'!AD7+'花蓮遊客中心園區'!AD7+'豐濱鄉親不知子海上古道及周邊地區'!AD7</f>
        <v>192450</v>
      </c>
      <c r="AE7" s="83">
        <f>'綠島遊憩區'!AE7+'東部海岸富岡地質公園及加路蘭休憩區'!AE7+'水往上流遊憩區(113年起停計)'!AE7+'都歷處本部'!AE7+'三仙台遊憩區及周邊地區'!AE7+'八仙洞遊憩區'!AE7+'秀姑巒溪遊客中心園區'!AE7+'石梯坪遊憩區'!AE7+'磯崎海濱遊憩區(113年起停計)'!AE7+'花蓮海洋公園'!AE7+'花蓮遊客中心園區'!AE7+'豐濱鄉親不知子海上古道及周邊地區'!AE7</f>
        <v>200366</v>
      </c>
      <c r="AF7" s="83">
        <f>'綠島遊憩區'!AF7+'東部海岸富岡地質公園及加路蘭休憩區'!AF7+'水往上流遊憩區(113年起停計)'!AF7+'都歷處本部'!AF7+'三仙台遊憩區及周邊地區'!AF7+'八仙洞遊憩區'!AF7+'秀姑巒溪遊客中心園區'!AF7+'石梯坪遊憩區'!AF7+'磯崎海濱遊憩區(113年起停計)'!AF7+'花蓮海洋公園'!AF7+'花蓮遊客中心園區'!AF7+'豐濱鄉親不知子海上古道及周邊地區'!AF7</f>
        <v>281338.94</v>
      </c>
      <c r="AG7" s="83">
        <f>'綠島遊憩區'!AG7+'東部海岸富岡地質公園及加路蘭休憩區'!AG7+'水往上流遊憩區(113年起停計)'!AG7+'都歷處本部'!AG7+'三仙台遊憩區及周邊地區'!AG7+'八仙洞遊憩區'!AG7+'秀姑巒溪遊客中心園區'!AG7+'石梯坪遊憩區'!AG7+'磯崎海濱遊憩區(113年起停計)'!AG7+'花蓮海洋公園'!AG7+'花蓮遊客中心園區'!AG7+'豐濱鄉親不知子海上古道及周邊地區'!AG7</f>
        <v>158537</v>
      </c>
      <c r="AH7" s="83">
        <f>'綠島遊憩區'!AH7+'東部海岸富岡地質公園及加路蘭休憩區'!AH7+'水往上流遊憩區(113年起停計)'!AH7+'都歷處本部'!AH7+'三仙台遊憩區及周邊地區'!AH7+'八仙洞遊憩區'!AH7+'秀姑巒溪遊客中心園區'!AH7+'石梯坪遊憩區'!AH7+'磯崎海濱遊憩區(113年起停計)'!AH7+'花蓮海洋公園'!AH7+'花蓮遊客中心園區'!AH7+'豐濱鄉親不知子海上古道及周邊地區'!AH7</f>
        <v>224636</v>
      </c>
      <c r="AI7" s="83">
        <f>'綠島遊憩區'!AI7+'東部海岸富岡地質公園及加路蘭休憩區'!AI7+'水往上流遊憩區(113年起停計)'!AI7+'都歷處本部'!AI7+'三仙台遊憩區及周邊地區'!AI7+'八仙洞遊憩區'!AI7+'秀姑巒溪遊客中心園區'!AI7+'石梯坪遊憩區'!AI7+'磯崎海濱遊憩區(113年起停計)'!AI7+'花蓮海洋公園'!AI7+'花蓮遊客中心園區'!AI7+'豐濱鄉親不知子海上古道及周邊地區'!AI7</f>
        <v>197870</v>
      </c>
      <c r="AJ7" s="83">
        <f>'綠島遊憩區'!AJ7+'東部海岸富岡地質公園及加路蘭休憩區'!AJ7+'水往上流遊憩區(113年起停計)'!AJ7+'都歷處本部'!AJ7+'三仙台遊憩區及周邊地區'!AJ7+'八仙洞遊憩區'!AJ7+'秀姑巒溪遊客中心園區'!AJ7+'石梯坪遊憩區'!AJ7+'磯崎海濱遊憩區(113年起停計)'!AJ7+'花蓮海洋公園'!AJ7+'花蓮遊客中心園區'!AJ7+'豐濱鄉親不知子海上古道及周邊地區'!AJ7</f>
        <v>171370</v>
      </c>
      <c r="AK7" s="83">
        <f>'綠島遊憩區'!AK7+'東部海岸富岡地質公園及加路蘭休憩區'!AK7+'都蘭遊憩區及周邊地區'!AK7+'都歷處本部'!AK7+'三仙台遊憩區及周邊地區'!AK7+'八仙洞遊憩區'!AK7+'秀姑巒溪遊客中心園區'!AK7+'石梯坪遊憩區'!AK7+'磯崎海濱遊憩區(113年起停計)'!AK7+'花蓮海洋公園'!AK7+'花蓮遊客中心園區'!AK7+'豐濱鄉親不知子海上古道及周邊地區'!AK7</f>
        <v>552861</v>
      </c>
      <c r="AL7" s="83">
        <f>'綠島遊憩區'!AL7+'東部海岸富岡地質公園及加路蘭休憩區'!AL7+'都蘭遊憩區及周邊地區'!AL7+'都歷處本部'!AL7+'三仙台遊憩區及周邊地區'!AL7+'八仙洞遊憩區'!AL7+'秀姑巒溪遊客中心園區'!AL7+'石梯坪遊憩區'!AL7+'磯崎海濱遊憩區(113年起停計)'!AL7+'花蓮海洋公園'!AL7+'花蓮遊客中心園區'!AL7+'豐濱鄉親不知子海上古道及周邊地區'!AL7</f>
        <v>568995</v>
      </c>
      <c r="AM7" s="83">
        <f>'綠島遊憩區'!AM7+'東部海岸富岡地質公園及加路蘭休憩區'!AM7+'都蘭遊憩區及周邊地區'!AM7+'都歷處本部'!AM7+'三仙台遊憩區及周邊地區'!AM7+'八仙洞遊憩區'!AM7+'秀姑巒溪遊客中心園區'!AM7+'石梯坪遊憩區'!AM7+'磯崎海濱遊憩區(113年起停計)'!AM7+'花蓮海洋公園'!AM7+'花蓮遊客中心園區'!AM7+'豐濱鄉親不知子海上古道及周邊地區'!AM7</f>
        <v>313177</v>
      </c>
      <c r="AN7" s="83">
        <f>'綠島遊憩區'!AN7+'東部海岸富岡地質公園及加路蘭休憩區'!AN7+'都蘭遊憩區及周邊地區'!AN7+'都歷處本部'!AN7+'三仙台遊憩區及周邊地區'!AN7+'八仙洞遊憩區'!AN7+'秀姑巒溪遊客中心園區'!AN7+'石梯坪遊憩區'!AN7+'磯崎海濱遊憩區(113年起停計)'!AN7+'花蓮海洋公園'!AN7+'花蓮遊客中心園區'!AN7+'豐濱鄉親不知子海上古道及周邊地區'!AN7</f>
        <v>0</v>
      </c>
      <c r="AO7" s="83">
        <f>'綠島遊憩區'!AO7+'東部海岸富岡地質公園及加路蘭休憩區'!AO7+'都蘭遊憩區及周邊地區'!AO7+'都歷處本部'!AO7+'三仙台遊憩區及周邊地區'!AO7+'八仙洞遊憩區'!AO7+'秀姑巒溪遊客中心園區'!AO7+'石梯坪遊憩區'!AO7+'磯崎海濱遊憩區(113年起停計)'!AO7+'花蓮海洋公園'!AO7+'花蓮遊客中心園區'!AO7+'豐濱鄉親不知子海上古道及周邊地區'!AO7</f>
        <v>0</v>
      </c>
      <c r="AP7" s="83">
        <f>'綠島遊憩區'!AP7+'東部海岸富岡地質公園及加路蘭休憩區'!AP7+'都蘭遊憩區及周邊地區'!AP7+'都歷處本部'!AP7+'三仙台遊憩區及周邊地區'!AP7+'八仙洞遊憩區'!AP7+'秀姑巒溪遊客中心園區'!AP7+'石梯坪遊憩區'!AP7+'磯崎海濱遊憩區(113年起停計)'!AP7+'花蓮海洋公園'!AP7+'花蓮遊客中心園區'!AP7+'豐濱鄉親不知子海上古道及周邊地區'!AP7</f>
        <v>0</v>
      </c>
      <c r="AQ7" s="83">
        <f>'綠島遊憩區'!AQ7+'東部海岸富岡地質公園及加路蘭休憩區'!AQ7+'都蘭遊憩區及周邊地區'!AQ7+'都歷處本部'!AQ7+'三仙台遊憩區及周邊地區'!AQ7+'八仙洞遊憩區'!AQ7+'秀姑巒溪遊客中心園區'!AQ7+'石梯坪遊憩區'!AQ7+'磯崎海濱遊憩區(113年起停計)'!AQ7+'花蓮海洋公園'!AQ7+'花蓮遊客中心園區'!AQ7+'豐濱鄉親不知子海上古道及周邊地區'!AQ7</f>
        <v>0</v>
      </c>
      <c r="AR7" s="84">
        <f>'綠島遊憩區'!AR7+'東部海岸富岡地質公園及加路蘭休憩區'!AR7+'都蘭遊憩區及周邊地區'!AR7+'都歷處本部'!AR7+'三仙台遊憩區及周邊地區'!AR7+'八仙洞遊憩區'!AR7+'秀姑巒溪遊客中心園區'!AR7+'石梯坪遊憩區'!AR7+'磯崎海濱遊憩區(113年起停計)'!AR7+'花蓮海洋公園'!AR7+'花蓮遊客中心園區'!AR7+'豐濱鄉親不知子海上古道及周邊地區'!AR7</f>
        <v>0</v>
      </c>
    </row>
    <row r="8" ht="15.75" customHeight="1">
      <c r="A8" s="82" t="s">
        <v>84</v>
      </c>
      <c r="B8" s="83">
        <f>'綠島遊憩區'!B8+'東部海岸富岡地質公園及加路蘭休憩區'!B8+'水往上流遊憩區(113年起停計)'!B8+'都歷處本部'!B8+'三仙台遊憩區及周邊地區'!B8+'八仙洞遊憩區'!B8+'秀姑巒溪遊客中心園區'!B8+'石梯坪遊憩區'!B8+'磯崎海濱遊憩區(113年起停計)'!B8+'花蓮海洋公園'!B8+'花蓮遊客中心園區'!B8+'豐濱鄉親不知子海上古道及周邊地區'!B8</f>
        <v>3623</v>
      </c>
      <c r="C8" s="83">
        <f>'綠島遊憩區'!C8+'東部海岸富岡地質公園及加路蘭休憩區'!C8+'水往上流遊憩區(113年起停計)'!C8+'都歷處本部'!C8+'三仙台遊憩區及周邊地區'!C8+'八仙洞遊憩區'!C8+'秀姑巒溪遊客中心園區'!C8+'石梯坪遊憩區'!C8+'磯崎海濱遊憩區(113年起停計)'!C8+'花蓮海洋公園'!C8+'花蓮遊客中心園區'!C8+'豐濱鄉親不知子海上古道及周邊地區'!C8</f>
        <v>2974</v>
      </c>
      <c r="D8" s="83">
        <f>'綠島遊憩區'!D8+'東部海岸富岡地質公園及加路蘭休憩區'!D8+'水往上流遊憩區(113年起停計)'!D8+'都歷處本部'!D8+'三仙台遊憩區及周邊地區'!D8+'八仙洞遊憩區'!D8+'秀姑巒溪遊客中心園區'!D8+'石梯坪遊憩區'!D8+'磯崎海濱遊憩區(113年起停計)'!D8+'花蓮海洋公園'!D8+'花蓮遊客中心園區'!D8+'豐濱鄉親不知子海上古道及周邊地區'!D8</f>
        <v>1093</v>
      </c>
      <c r="E8" s="83">
        <f>'綠島遊憩區'!E8+'東部海岸富岡地質公園及加路蘭休憩區'!E8+'水往上流遊憩區(113年起停計)'!E8+'都歷處本部'!E8+'三仙台遊憩區及周邊地區'!E8+'八仙洞遊憩區'!E8+'秀姑巒溪遊客中心園區'!E8+'石梯坪遊憩區'!E8+'磯崎海濱遊憩區(113年起停計)'!E8+'花蓮海洋公園'!E8+'花蓮遊客中心園區'!E8+'豐濱鄉親不知子海上古道及周邊地區'!E8</f>
        <v>824</v>
      </c>
      <c r="F8" s="83">
        <f>'綠島遊憩區'!F8+'東部海岸富岡地質公園及加路蘭休憩區'!F8+'水往上流遊憩區(113年起停計)'!F8+'都歷處本部'!F8+'三仙台遊憩區及周邊地區'!F8+'八仙洞遊憩區'!F8+'秀姑巒溪遊客中心園區'!F8+'石梯坪遊憩區'!F8+'磯崎海濱遊憩區(113年起停計)'!F8+'花蓮海洋公園'!F8+'花蓮遊客中心園區'!F8+'豐濱鄉親不知子海上古道及周邊地區'!F8</f>
        <v>873</v>
      </c>
      <c r="G8" s="83">
        <f>'綠島遊憩區'!G8+'東部海岸富岡地質公園及加路蘭休憩區'!G8+'水往上流遊憩區(113年起停計)'!G8+'都歷處本部'!G8+'三仙台遊憩區及周邊地區'!G8+'八仙洞遊憩區'!G8+'秀姑巒溪遊客中心園區'!G8+'石梯坪遊憩區'!G8+'磯崎海濱遊憩區(113年起停計)'!G8+'花蓮海洋公園'!G8+'花蓮遊客中心園區'!G8+'豐濱鄉親不知子海上古道及周邊地區'!G8</f>
        <v>873</v>
      </c>
      <c r="H8" s="83">
        <f>'綠島遊憩區'!H8+'東部海岸富岡地質公園及加路蘭休憩區'!H8+'水往上流遊憩區(113年起停計)'!H8+'都歷處本部'!H8+'三仙台遊憩區及周邊地區'!H8+'八仙洞遊憩區'!H8+'秀姑巒溪遊客中心園區'!H8+'石梯坪遊憩區'!H8+'磯崎海濱遊憩區(113年起停計)'!H8+'花蓮海洋公園'!H8+'花蓮遊客中心園區'!H8+'豐濱鄉親不知子海上古道及周邊地區'!H8</f>
        <v>1449</v>
      </c>
      <c r="I8" s="83">
        <f>'綠島遊憩區'!I8+'東部海岸富岡地質公園及加路蘭休憩區'!I8+'水往上流遊憩區(113年起停計)'!I8+'都歷處本部'!I8+'三仙台遊憩區及周邊地區'!I8+'八仙洞遊憩區'!I8+'秀姑巒溪遊客中心園區'!I8+'石梯坪遊憩區'!I8+'磯崎海濱遊憩區(113年起停計)'!I8+'花蓮海洋公園'!I8+'花蓮遊客中心園區'!I8+'豐濱鄉親不知子海上古道及周邊地區'!I8</f>
        <v>480</v>
      </c>
      <c r="J8" s="83">
        <f>'綠島遊憩區'!J8+'東部海岸富岡地質公園及加路蘭休憩區'!J8+'水往上流遊憩區(113年起停計)'!J8+'都歷處本部'!J8+'三仙台遊憩區及周邊地區'!J8+'八仙洞遊憩區'!J8+'秀姑巒溪遊客中心園區'!J8+'石梯坪遊憩區'!J8+'磯崎海濱遊憩區(113年起停計)'!J8+'花蓮海洋公園'!J8+'花蓮遊客中心園區'!J8+'豐濱鄉親不知子海上古道及周邊地區'!J8</f>
        <v>1481</v>
      </c>
      <c r="K8" s="83">
        <f>'綠島遊憩區'!K8+'東部海岸富岡地質公園及加路蘭休憩區'!K8+'水往上流遊憩區(113年起停計)'!K8+'都歷處本部'!K8+'三仙台遊憩區及周邊地區'!K8+'八仙洞遊憩區'!K8+'秀姑巒溪遊客中心園區'!K8+'石梯坪遊憩區'!K8+'磯崎海濱遊憩區(113年起停計)'!K8+'花蓮海洋公園'!K8+'花蓮遊客中心園區'!K8+'豐濱鄉親不知子海上古道及周邊地區'!K8</f>
        <v>26025</v>
      </c>
      <c r="L8" s="83">
        <f>'綠島遊憩區'!L8+'東部海岸富岡地質公園及加路蘭休憩區'!L8+'水往上流遊憩區(113年起停計)'!L8+'都歷處本部'!L8+'三仙台遊憩區及周邊地區'!L8+'八仙洞遊憩區'!L8+'秀姑巒溪遊客中心園區'!L8+'石梯坪遊憩區'!L8+'磯崎海濱遊憩區(113年起停計)'!L8+'花蓮海洋公園'!L8+'花蓮遊客中心園區'!L8+'豐濱鄉親不知子海上古道及周邊地區'!L8</f>
        <v>38824</v>
      </c>
      <c r="M8" s="83">
        <f>'綠島遊憩區'!M8+'東部海岸富岡地質公園及加路蘭休憩區'!M8+'水往上流遊憩區(113年起停計)'!M8+'都歷處本部'!M8+'三仙台遊憩區及周邊地區'!M8+'八仙洞遊憩區'!M8+'秀姑巒溪遊客中心園區'!M8+'石梯坪遊憩區'!M8+'磯崎海濱遊憩區(113年起停計)'!M8+'花蓮海洋公園'!M8+'花蓮遊客中心園區'!M8+'豐濱鄉親不知子海上古道及周邊地區'!M8</f>
        <v>284305</v>
      </c>
      <c r="N8" s="83">
        <f>'綠島遊憩區'!N8+'東部海岸富岡地質公園及加路蘭休憩區'!N8+'水往上流遊憩區(113年起停計)'!N8+'都歷處本部'!N8+'三仙台遊憩區及周邊地區'!N8+'八仙洞遊憩區'!N8+'秀姑巒溪遊客中心園區'!N8+'石梯坪遊憩區'!N8+'磯崎海濱遊憩區(113年起停計)'!N8+'花蓮海洋公園'!N8+'花蓮遊客中心園區'!N8+'豐濱鄉親不知子海上古道及周邊地區'!N8</f>
        <v>222060</v>
      </c>
      <c r="O8" s="83">
        <f>'綠島遊憩區'!O8+'東部海岸富岡地質公園及加路蘭休憩區'!O8+'水往上流遊憩區(113年起停計)'!O8+'都歷處本部'!O8+'三仙台遊憩區及周邊地區'!O8+'八仙洞遊憩區'!O8+'秀姑巒溪遊客中心園區'!O8+'石梯坪遊憩區'!O8+'磯崎海濱遊憩區(113年起停計)'!O8+'花蓮海洋公園'!O8+'花蓮遊客中心園區'!O8+'豐濱鄉親不知子海上古道及周邊地區'!O8</f>
        <v>181975</v>
      </c>
      <c r="P8" s="83">
        <f>'綠島遊憩區'!P8+'東部海岸富岡地質公園及加路蘭休憩區'!P8+'水往上流遊憩區(113年起停計)'!P8+'都歷處本部'!P8+'三仙台遊憩區及周邊地區'!P8+'八仙洞遊憩區'!P8+'秀姑巒溪遊客中心園區'!P8+'石梯坪遊憩區'!P8+'磯崎海濱遊憩區(113年起停計)'!P8+'花蓮海洋公園'!P8+'花蓮遊客中心園區'!P8+'豐濱鄉親不知子海上古道及周邊地區'!P8</f>
        <v>207171</v>
      </c>
      <c r="Q8" s="83">
        <f>'綠島遊憩區'!Q8+'東部海岸富岡地質公園及加路蘭休憩區'!Q8+'水往上流遊憩區(113年起停計)'!Q8+'都歷處本部'!Q8+'三仙台遊憩區及周邊地區'!Q8+'八仙洞遊憩區'!Q8+'秀姑巒溪遊客中心園區'!Q8+'石梯坪遊憩區'!Q8+'磯崎海濱遊憩區(113年起停計)'!Q8+'花蓮海洋公園'!Q8+'花蓮遊客中心園區'!Q8+'豐濱鄉親不知子海上古道及周邊地區'!Q8</f>
        <v>226372</v>
      </c>
      <c r="R8" s="83">
        <f>'綠島遊憩區'!R8+'東部海岸富岡地質公園及加路蘭休憩區'!R8+'水往上流遊憩區(113年起停計)'!R8+'都歷處本部'!R8+'三仙台遊憩區及周邊地區'!R8+'八仙洞遊憩區'!R8+'秀姑巒溪遊客中心園區'!R8+'石梯坪遊憩區'!R8+'磯崎海濱遊憩區(113年起停計)'!R8+'花蓮海洋公園'!R8+'花蓮遊客中心園區'!R8+'豐濱鄉親不知子海上古道及周邊地區'!R8</f>
        <v>239948</v>
      </c>
      <c r="S8" s="83">
        <f>'綠島遊憩區'!S8+'東部海岸富岡地質公園及加路蘭休憩區'!S8+'水往上流遊憩區(113年起停計)'!S8+'都歷處本部'!S8+'三仙台遊憩區及周邊地區'!S8+'八仙洞遊憩區'!S8+'秀姑巒溪遊客中心園區'!S8+'石梯坪遊憩區'!S8+'磯崎海濱遊憩區(113年起停計)'!S8+'花蓮海洋公園'!S8+'花蓮遊客中心園區'!S8+'豐濱鄉親不知子海上古道及周邊地區'!S8</f>
        <v>237441</v>
      </c>
      <c r="T8" s="83">
        <f>'綠島遊憩區'!T8+'東部海岸富岡地質公園及加路蘭休憩區'!T8+'水往上流遊憩區(113年起停計)'!T8+'都歷處本部'!T8+'三仙台遊憩區及周邊地區'!T8+'八仙洞遊憩區'!T8+'秀姑巒溪遊客中心園區'!T8+'石梯坪遊憩區'!T8+'磯崎海濱遊憩區(113年起停計)'!T8+'花蓮海洋公園'!T8+'花蓮遊客中心園區'!T8+'豐濱鄉親不知子海上古道及周邊地區'!T8</f>
        <v>211062</v>
      </c>
      <c r="U8" s="83">
        <f>'綠島遊憩區'!U8+'東部海岸富岡地質公園及加路蘭休憩區'!U8+'水往上流遊憩區(113年起停計)'!U8+'都歷處本部'!U8+'三仙台遊憩區及周邊地區'!U8+'八仙洞遊憩區'!U8+'秀姑巒溪遊客中心園區'!U8+'石梯坪遊憩區'!U8+'磯崎海濱遊憩區(113年起停計)'!U8+'花蓮海洋公園'!U8+'花蓮遊客中心園區'!U8+'豐濱鄉親不知子海上古道及周邊地區'!U8</f>
        <v>177282</v>
      </c>
      <c r="V8" s="83">
        <f>'綠島遊憩區'!V8+'東部海岸富岡地質公園及加路蘭休憩區'!V8+'水往上流遊憩區(113年起停計)'!V8+'都歷處本部'!V8+'三仙台遊憩區及周邊地區'!V8+'八仙洞遊憩區'!V8+'秀姑巒溪遊客中心園區'!V8+'石梯坪遊憩區'!V8+'磯崎海濱遊憩區(113年起停計)'!V8+'花蓮海洋公園'!V8+'花蓮遊客中心園區'!V8+'豐濱鄉親不知子海上古道及周邊地區'!V8</f>
        <v>245175</v>
      </c>
      <c r="W8" s="83">
        <f>'綠島遊憩區'!W8+'東部海岸富岡地質公園及加路蘭休憩區'!W8+'水往上流遊憩區(113年起停計)'!W8+'都歷處本部'!W8+'三仙台遊憩區及周邊地區'!W8+'八仙洞遊憩區'!W8+'秀姑巒溪遊客中心園區'!W8+'石梯坪遊憩區'!W8+'磯崎海濱遊憩區(113年起停計)'!W8+'花蓮海洋公園'!W8+'花蓮遊客中心園區'!W8+'豐濱鄉親不知子海上古道及周邊地區'!W8</f>
        <v>253688</v>
      </c>
      <c r="X8" s="83">
        <f>'綠島遊憩區'!X8+'東部海岸富岡地質公園及加路蘭休憩區'!X8+'水往上流遊憩區(113年起停計)'!X8+'都歷處本部'!X8+'三仙台遊憩區及周邊地區'!X8+'八仙洞遊憩區'!X8+'秀姑巒溪遊客中心園區'!X8+'石梯坪遊憩區'!X8+'磯崎海濱遊憩區(113年起停計)'!X8+'花蓮海洋公園'!X8+'花蓮遊客中心園區'!X8+'豐濱鄉親不知子海上古道及周邊地區'!X8</f>
        <v>276361</v>
      </c>
      <c r="Y8" s="83">
        <f>'綠島遊憩區'!Y8+'東部海岸富岡地質公園及加路蘭休憩區'!Y8+'水往上流遊憩區(113年起停計)'!Y8+'都歷處本部'!Y8+'三仙台遊憩區及周邊地區'!Y8+'八仙洞遊憩區'!Y8+'秀姑巒溪遊客中心園區'!Y8+'石梯坪遊憩區'!Y8+'磯崎海濱遊憩區(113年起停計)'!Y8+'花蓮海洋公園'!Y8+'花蓮遊客中心園區'!Y8+'豐濱鄉親不知子海上古道及周邊地區'!Y8</f>
        <v>336511</v>
      </c>
      <c r="Z8" s="83">
        <f>'綠島遊憩區'!Z8+'東部海岸富岡地質公園及加路蘭休憩區'!Z8+'水往上流遊憩區(113年起停計)'!Z8+'都歷處本部'!Z8+'三仙台遊憩區及周邊地區'!Z8+'八仙洞遊憩區'!Z8+'秀姑巒溪遊客中心園區'!Z8+'石梯坪遊憩區'!Z8+'磯崎海濱遊憩區(113年起停計)'!Z8+'花蓮海洋公園'!Z8+'花蓮遊客中心園區'!Z8+'豐濱鄉親不知子海上古道及周邊地區'!Z8</f>
        <v>358871</v>
      </c>
      <c r="AA8" s="83">
        <f>'綠島遊憩區'!AA8+'東部海岸富岡地質公園及加路蘭休憩區'!AA8+'水往上流遊憩區(113年起停計)'!AA8+'都歷處本部'!AA8+'三仙台遊憩區及周邊地區'!AA8+'八仙洞遊憩區'!AA8+'秀姑巒溪遊客中心園區'!AA8+'石梯坪遊憩區'!AA8+'磯崎海濱遊憩區(113年起停計)'!AA8+'花蓮海洋公園'!AA8+'花蓮遊客中心園區'!AA8+'豐濱鄉親不知子海上古道及周邊地區'!AA8</f>
        <v>605532</v>
      </c>
      <c r="AB8" s="83">
        <f>'綠島遊憩區'!AB8+'東部海岸富岡地質公園及加路蘭休憩區'!AB8+'水往上流遊憩區(113年起停計)'!AB8+'都歷處本部'!AB8+'三仙台遊憩區及周邊地區'!AB8+'八仙洞遊憩區'!AB8+'秀姑巒溪遊客中心園區'!AB8+'石梯坪遊憩區'!AB8+'磯崎海濱遊憩區(113年起停計)'!AB8+'花蓮海洋公園'!AB8+'花蓮遊客中心園區'!AB8+'豐濱鄉親不知子海上古道及周邊地區'!AB8</f>
        <v>285817</v>
      </c>
      <c r="AC8" s="83">
        <f>'綠島遊憩區'!AC8+'東部海岸富岡地質公園及加路蘭休憩區'!AC8+'水往上流遊憩區(113年起停計)'!AC8+'都歷處本部'!AC8+'三仙台遊憩區及周邊地區'!AC8+'八仙洞遊憩區'!AC8+'秀姑巒溪遊客中心園區'!AC8+'石梯坪遊憩區'!AC8+'磯崎海濱遊憩區(113年起停計)'!AC8+'花蓮海洋公園'!AC8+'花蓮遊客中心園區'!AC8+'豐濱鄉親不知子海上古道及周邊地區'!AC8</f>
        <v>380818</v>
      </c>
      <c r="AD8" s="83">
        <f>'綠島遊憩區'!AD8+'東部海岸富岡地質公園及加路蘭休憩區'!AD8+'水往上流遊憩區(113年起停計)'!AD8+'都歷處本部'!AD8+'三仙台遊憩區及周邊地區'!AD8+'八仙洞遊憩區'!AD8+'秀姑巒溪遊客中心園區'!AD8+'石梯坪遊憩區'!AD8+'磯崎海濱遊憩區(113年起停計)'!AD8+'花蓮海洋公園'!AD8+'花蓮遊客中心園區'!AD8+'豐濱鄉親不知子海上古道及周邊地區'!AD8</f>
        <v>287889</v>
      </c>
      <c r="AE8" s="83">
        <f>'綠島遊憩區'!AE8+'東部海岸富岡地質公園及加路蘭休憩區'!AE8+'水往上流遊憩區(113年起停計)'!AE8+'都歷處本部'!AE8+'三仙台遊憩區及周邊地區'!AE8+'八仙洞遊憩區'!AE8+'秀姑巒溪遊客中心園區'!AE8+'石梯坪遊憩區'!AE8+'磯崎海濱遊憩區(113年起停計)'!AE8+'花蓮海洋公園'!AE8+'花蓮遊客中心園區'!AE8+'豐濱鄉親不知子海上古道及周邊地區'!AE8</f>
        <v>348382</v>
      </c>
      <c r="AF8" s="83">
        <f>'綠島遊憩區'!AF8+'東部海岸富岡地質公園及加路蘭休憩區'!AF8+'水往上流遊憩區(113年起停計)'!AF8+'都歷處本部'!AF8+'三仙台遊憩區及周邊地區'!AF8+'八仙洞遊憩區'!AF8+'秀姑巒溪遊客中心園區'!AF8+'石梯坪遊憩區'!AF8+'磯崎海濱遊憩區(113年起停計)'!AF8+'花蓮海洋公園'!AF8+'花蓮遊客中心園區'!AF8+'豐濱鄉親不知子海上古道及周邊地區'!AF8</f>
        <v>305772</v>
      </c>
      <c r="AG8" s="83">
        <f>'綠島遊憩區'!AG8+'東部海岸富岡地質公園及加路蘭休憩區'!AG8+'水往上流遊憩區(113年起停計)'!AG8+'都歷處本部'!AG8+'三仙台遊憩區及周邊地區'!AG8+'八仙洞遊憩區'!AG8+'秀姑巒溪遊客中心園區'!AG8+'石梯坪遊憩區'!AG8+'磯崎海濱遊憩區(113年起停計)'!AG8+'花蓮海洋公園'!AG8+'花蓮遊客中心園區'!AG8+'豐濱鄉親不知子海上古道及周邊地區'!AG8</f>
        <v>193972</v>
      </c>
      <c r="AH8" s="83">
        <f>'綠島遊憩區'!AH8+'東部海岸富岡地質公園及加路蘭休憩區'!AH8+'水往上流遊憩區(113年起停計)'!AH8+'都歷處本部'!AH8+'三仙台遊憩區及周邊地區'!AH8+'八仙洞遊憩區'!AH8+'秀姑巒溪遊客中心園區'!AH8+'石梯坪遊憩區'!AH8+'磯崎海濱遊憩區(113年起停計)'!AH8+'花蓮海洋公園'!AH8+'花蓮遊客中心園區'!AH8+'豐濱鄉親不知子海上古道及周邊地區'!AH8</f>
        <v>350892</v>
      </c>
      <c r="AI8" s="83">
        <f>'綠島遊憩區'!AI8+'東部海岸富岡地質公園及加路蘭休憩區'!AI8+'水往上流遊憩區(113年起停計)'!AI8+'都歷處本部'!AI8+'三仙台遊憩區及周邊地區'!AI8+'八仙洞遊憩區'!AI8+'秀姑巒溪遊客中心園區'!AI8+'石梯坪遊憩區'!AI8+'磯崎海濱遊憩區(113年起停計)'!AI8+'花蓮海洋公園'!AI8+'花蓮遊客中心園區'!AI8+'豐濱鄉親不知子海上古道及周邊地區'!AI8</f>
        <v>228435</v>
      </c>
      <c r="AJ8" s="83">
        <f>'綠島遊憩區'!AJ8+'東部海岸富岡地質公園及加路蘭休憩區'!AJ8+'水往上流遊憩區(113年起停計)'!AJ8+'都歷處本部'!AJ8+'三仙台遊憩區及周邊地區'!AJ8+'八仙洞遊憩區'!AJ8+'秀姑巒溪遊客中心園區'!AJ8+'石梯坪遊憩區'!AJ8+'磯崎海濱遊憩區(113年起停計)'!AJ8+'花蓮海洋公園'!AJ8+'花蓮遊客中心園區'!AJ8+'豐濱鄉親不知子海上古道及周邊地區'!AJ8</f>
        <v>307824</v>
      </c>
      <c r="AK8" s="83">
        <f>'綠島遊憩區'!AK8+'東部海岸富岡地質公園及加路蘭休憩區'!AK8+'都蘭遊憩區及周邊地區'!AK8+'都歷處本部'!AK8+'三仙台遊憩區及周邊地區'!AK8+'八仙洞遊憩區'!AK8+'秀姑巒溪遊客中心園區'!AK8+'石梯坪遊憩區'!AK8+'磯崎海濱遊憩區(113年起停計)'!AK8+'花蓮海洋公園'!AK8+'花蓮遊客中心園區'!AK8+'豐濱鄉親不知子海上古道及周邊地區'!AK8</f>
        <v>454527</v>
      </c>
      <c r="AL8" s="83">
        <f>'綠島遊憩區'!AL8+'東部海岸富岡地質公園及加路蘭休憩區'!AL8+'都蘭遊憩區及周邊地區'!AL8+'都歷處本部'!AL8+'三仙台遊憩區及周邊地區'!AL8+'八仙洞遊憩區'!AL8+'秀姑巒溪遊客中心園區'!AL8+'石梯坪遊憩區'!AL8+'磯崎海濱遊憩區(113年起停計)'!AL8+'花蓮海洋公園'!AL8+'花蓮遊客中心園區'!AL8+'豐濱鄉親不知子海上古道及周邊地區'!AL8</f>
        <v>689271</v>
      </c>
      <c r="AM8" s="83">
        <f>'綠島遊憩區'!AM8+'東部海岸富岡地質公園及加路蘭休憩區'!AM8+'都蘭遊憩區及周邊地區'!AM8+'都歷處本部'!AM8+'三仙台遊憩區及周邊地區'!AM8+'八仙洞遊憩區'!AM8+'秀姑巒溪遊客中心園區'!AM8+'石梯坪遊憩區'!AM8+'磯崎海濱遊憩區(113年起停計)'!AM8+'花蓮海洋公園'!AM8+'花蓮遊客中心園區'!AM8+'豐濱鄉親不知子海上古道及周邊地區'!AM8</f>
        <v>382448</v>
      </c>
      <c r="AN8" s="83">
        <f>'綠島遊憩區'!AN8+'東部海岸富岡地質公園及加路蘭休憩區'!AN8+'都蘭遊憩區及周邊地區'!AN8+'都歷處本部'!AN8+'三仙台遊憩區及周邊地區'!AN8+'八仙洞遊憩區'!AN8+'秀姑巒溪遊客中心園區'!AN8+'石梯坪遊憩區'!AN8+'磯崎海濱遊憩區(113年起停計)'!AN8+'花蓮海洋公園'!AN8+'花蓮遊客中心園區'!AN8+'豐濱鄉親不知子海上古道及周邊地區'!AN8</f>
        <v>0</v>
      </c>
      <c r="AO8" s="83">
        <f>'綠島遊憩區'!AO8+'東部海岸富岡地質公園及加路蘭休憩區'!AO8+'都蘭遊憩區及周邊地區'!AO8+'都歷處本部'!AO8+'三仙台遊憩區及周邊地區'!AO8+'八仙洞遊憩區'!AO8+'秀姑巒溪遊客中心園區'!AO8+'石梯坪遊憩區'!AO8+'磯崎海濱遊憩區(113年起停計)'!AO8+'花蓮海洋公園'!AO8+'花蓮遊客中心園區'!AO8+'豐濱鄉親不知子海上古道及周邊地區'!AO8</f>
        <v>0</v>
      </c>
      <c r="AP8" s="83">
        <f>'綠島遊憩區'!AP8+'東部海岸富岡地質公園及加路蘭休憩區'!AP8+'都蘭遊憩區及周邊地區'!AP8+'都歷處本部'!AP8+'三仙台遊憩區及周邊地區'!AP8+'八仙洞遊憩區'!AP8+'秀姑巒溪遊客中心園區'!AP8+'石梯坪遊憩區'!AP8+'磯崎海濱遊憩區(113年起停計)'!AP8+'花蓮海洋公園'!AP8+'花蓮遊客中心園區'!AP8+'豐濱鄉親不知子海上古道及周邊地區'!AP8</f>
        <v>0</v>
      </c>
      <c r="AQ8" s="83">
        <f>'綠島遊憩區'!AQ8+'東部海岸富岡地質公園及加路蘭休憩區'!AQ8+'都蘭遊憩區及周邊地區'!AQ8+'都歷處本部'!AQ8+'三仙台遊憩區及周邊地區'!AQ8+'八仙洞遊憩區'!AQ8+'秀姑巒溪遊客中心園區'!AQ8+'石梯坪遊憩區'!AQ8+'磯崎海濱遊憩區(113年起停計)'!AQ8+'花蓮海洋公園'!AQ8+'花蓮遊客中心園區'!AQ8+'豐濱鄉親不知子海上古道及周邊地區'!AQ8</f>
        <v>0</v>
      </c>
      <c r="AR8" s="84">
        <f>'綠島遊憩區'!AR8+'東部海岸富岡地質公園及加路蘭休憩區'!AR8+'都蘭遊憩區及周邊地區'!AR8+'都歷處本部'!AR8+'三仙台遊憩區及周邊地區'!AR8+'八仙洞遊憩區'!AR8+'秀姑巒溪遊客中心園區'!AR8+'石梯坪遊憩區'!AR8+'磯崎海濱遊憩區(113年起停計)'!AR8+'花蓮海洋公園'!AR8+'花蓮遊客中心園區'!AR8+'豐濱鄉親不知子海上古道及周邊地區'!AR8</f>
        <v>0</v>
      </c>
    </row>
    <row r="9" ht="15.75" customHeight="1">
      <c r="A9" s="82" t="s">
        <v>85</v>
      </c>
      <c r="B9" s="83">
        <f>'綠島遊憩區'!B9+'東部海岸富岡地質公園及加路蘭休憩區'!B9+'水往上流遊憩區(113年起停計)'!B9+'都歷處本部'!B9+'三仙台遊憩區及周邊地區'!B9+'八仙洞遊憩區'!B9+'秀姑巒溪遊客中心園區'!B9+'石梯坪遊憩區'!B9+'磯崎海濱遊憩區(113年起停計)'!B9+'花蓮海洋公園'!B9+'花蓮遊客中心園區'!B9+'豐濱鄉親不知子海上古道及周邊地區'!B9</f>
        <v>6160</v>
      </c>
      <c r="C9" s="83">
        <f>'綠島遊憩區'!C9+'東部海岸富岡地質公園及加路蘭休憩區'!C9+'水往上流遊憩區(113年起停計)'!C9+'都歷處本部'!C9+'三仙台遊憩區及周邊地區'!C9+'八仙洞遊憩區'!C9+'秀姑巒溪遊客中心園區'!C9+'石梯坪遊憩區'!C9+'磯崎海濱遊憩區(113年起停計)'!C9+'花蓮海洋公園'!C9+'花蓮遊客中心園區'!C9+'豐濱鄉親不知子海上古道及周邊地區'!C9</f>
        <v>7284</v>
      </c>
      <c r="D9" s="83">
        <f>'綠島遊憩區'!D9+'東部海岸富岡地質公園及加路蘭休憩區'!D9+'水往上流遊憩區(113年起停計)'!D9+'都歷處本部'!D9+'三仙台遊憩區及周邊地區'!D9+'八仙洞遊憩區'!D9+'秀姑巒溪遊客中心園區'!D9+'石梯坪遊憩區'!D9+'磯崎海濱遊憩區(113年起停計)'!D9+'花蓮海洋公園'!D9+'花蓮遊客中心園區'!D9+'豐濱鄉親不知子海上古道及周邊地區'!D9</f>
        <v>3204</v>
      </c>
      <c r="E9" s="83">
        <f>'綠島遊憩區'!E9+'東部海岸富岡地質公園及加路蘭休憩區'!E9+'水往上流遊憩區(113年起停計)'!E9+'都歷處本部'!E9+'三仙台遊憩區及周邊地區'!E9+'八仙洞遊憩區'!E9+'秀姑巒溪遊客中心園區'!E9+'石梯坪遊憩區'!E9+'磯崎海濱遊憩區(113年起停計)'!E9+'花蓮海洋公園'!E9+'花蓮遊客中心園區'!E9+'豐濱鄉親不知子海上古道及周邊地區'!E9</f>
        <v>2977</v>
      </c>
      <c r="F9" s="83">
        <f>'綠島遊憩區'!F9+'東部海岸富岡地質公園及加路蘭休憩區'!F9+'水往上流遊憩區(113年起停計)'!F9+'都歷處本部'!F9+'三仙台遊憩區及周邊地區'!F9+'八仙洞遊憩區'!F9+'秀姑巒溪遊客中心園區'!F9+'石梯坪遊憩區'!F9+'磯崎海濱遊憩區(113年起停計)'!F9+'花蓮海洋公園'!F9+'花蓮遊客中心園區'!F9+'豐濱鄉親不知子海上古道及周邊地區'!F9</f>
        <v>4475</v>
      </c>
      <c r="G9" s="83">
        <f>'綠島遊憩區'!G9+'東部海岸富岡地質公園及加路蘭休憩區'!G9+'水往上流遊憩區(113年起停計)'!G9+'都歷處本部'!G9+'三仙台遊憩區及周邊地區'!G9+'八仙洞遊憩區'!G9+'秀姑巒溪遊客中心園區'!G9+'石梯坪遊憩區'!G9+'磯崎海濱遊憩區(113年起停計)'!G9+'花蓮海洋公園'!G9+'花蓮遊客中心園區'!G9+'豐濱鄉親不知子海上古道及周邊地區'!G9</f>
        <v>2672</v>
      </c>
      <c r="H9" s="83">
        <f>'綠島遊憩區'!H9+'東部海岸富岡地質公園及加路蘭休憩區'!H9+'水往上流遊憩區(113年起停計)'!H9+'都歷處本部'!H9+'三仙台遊憩區及周邊地區'!H9+'八仙洞遊憩區'!H9+'秀姑巒溪遊客中心園區'!H9+'石梯坪遊憩區'!H9+'磯崎海濱遊憩區(113年起停計)'!H9+'花蓮海洋公園'!H9+'花蓮遊客中心園區'!H9+'豐濱鄉親不知子海上古道及周邊地區'!H9</f>
        <v>2280</v>
      </c>
      <c r="I9" s="83">
        <f>'綠島遊憩區'!I9+'東部海岸富岡地質公園及加路蘭休憩區'!I9+'水往上流遊憩區(113年起停計)'!I9+'都歷處本部'!I9+'三仙台遊憩區及周邊地區'!I9+'八仙洞遊憩區'!I9+'秀姑巒溪遊客中心園區'!I9+'石梯坪遊憩區'!I9+'磯崎海濱遊憩區(113年起停計)'!I9+'花蓮海洋公園'!I9+'花蓮遊客中心園區'!I9+'豐濱鄉親不知子海上古道及周邊地區'!I9</f>
        <v>1879</v>
      </c>
      <c r="J9" s="83">
        <f>'綠島遊憩區'!J9+'東部海岸富岡地質公園及加路蘭休憩區'!J9+'水往上流遊憩區(113年起停計)'!J9+'都歷處本部'!J9+'三仙台遊憩區及周邊地區'!J9+'八仙洞遊憩區'!J9+'秀姑巒溪遊客中心園區'!J9+'石梯坪遊憩區'!J9+'磯崎海濱遊憩區(113年起停計)'!J9+'花蓮海洋公園'!J9+'花蓮遊客中心園區'!J9+'豐濱鄉親不知子海上古道及周邊地區'!J9</f>
        <v>3937</v>
      </c>
      <c r="K9" s="83">
        <f>'綠島遊憩區'!K9+'東部海岸富岡地質公園及加路蘭休憩區'!K9+'水往上流遊憩區(113年起停計)'!K9+'都歷處本部'!K9+'三仙台遊憩區及周邊地區'!K9+'八仙洞遊憩區'!K9+'秀姑巒溪遊客中心園區'!K9+'石梯坪遊憩區'!K9+'磯崎海濱遊憩區(113年起停計)'!K9+'花蓮海洋公園'!K9+'花蓮遊客中心園區'!K9+'豐濱鄉親不知子海上古道及周邊地區'!K9</f>
        <v>34013</v>
      </c>
      <c r="L9" s="83">
        <f>'綠島遊憩區'!L9+'東部海岸富岡地質公園及加路蘭休憩區'!L9+'水往上流遊憩區(113年起停計)'!L9+'都歷處本部'!L9+'三仙台遊憩區及周邊地區'!L9+'八仙洞遊憩區'!L9+'秀姑巒溪遊客中心園區'!L9+'石梯坪遊憩區'!L9+'磯崎海濱遊憩區(113年起停計)'!L9+'花蓮海洋公園'!L9+'花蓮遊客中心園區'!L9+'豐濱鄉親不知子海上古道及周邊地區'!L9</f>
        <v>39420</v>
      </c>
      <c r="M9" s="83">
        <f>'綠島遊憩區'!M9+'東部海岸富岡地質公園及加路蘭休憩區'!M9+'水往上流遊憩區(113年起停計)'!M9+'都歷處本部'!M9+'三仙台遊憩區及周邊地區'!M9+'八仙洞遊憩區'!M9+'秀姑巒溪遊客中心園區'!M9+'石梯坪遊憩區'!M9+'磯崎海濱遊憩區(113年起停計)'!M9+'花蓮海洋公園'!M9+'花蓮遊客中心園區'!M9+'豐濱鄉親不知子海上古道及周邊地區'!M9</f>
        <v>206640</v>
      </c>
      <c r="N9" s="83">
        <f>'綠島遊憩區'!N9+'東部海岸富岡地質公園及加路蘭休憩區'!N9+'水往上流遊憩區(113年起停計)'!N9+'都歷處本部'!N9+'三仙台遊憩區及周邊地區'!N9+'八仙洞遊憩區'!N9+'秀姑巒溪遊客中心園區'!N9+'石梯坪遊憩區'!N9+'磯崎海濱遊憩區(113年起停計)'!N9+'花蓮海洋公園'!N9+'花蓮遊客中心園區'!N9+'豐濱鄉親不知子海上古道及周邊地區'!N9</f>
        <v>171517</v>
      </c>
      <c r="O9" s="83">
        <f>'綠島遊憩區'!O9+'東部海岸富岡地質公園及加路蘭休憩區'!O9+'水往上流遊憩區(113年起停計)'!O9+'都歷處本部'!O9+'三仙台遊憩區及周邊地區'!O9+'八仙洞遊憩區'!O9+'秀姑巒溪遊客中心園區'!O9+'石梯坪遊憩區'!O9+'磯崎海濱遊憩區(113年起停計)'!O9+'花蓮海洋公園'!O9+'花蓮遊客中心園區'!O9+'豐濱鄉親不知子海上古道及周邊地區'!O9</f>
        <v>163998</v>
      </c>
      <c r="P9" s="83">
        <f>'綠島遊憩區'!P9+'東部海岸富岡地質公園及加路蘭休憩區'!P9+'水往上流遊憩區(113年起停計)'!P9+'都歷處本部'!P9+'三仙台遊憩區及周邊地區'!P9+'八仙洞遊憩區'!P9+'秀姑巒溪遊客中心園區'!P9+'石梯坪遊憩區'!P9+'磯崎海濱遊憩區(113年起停計)'!P9+'花蓮海洋公園'!P9+'花蓮遊客中心園區'!P9+'豐濱鄉親不知子海上古道及周邊地區'!P9</f>
        <v>100519</v>
      </c>
      <c r="Q9" s="83">
        <f>'綠島遊憩區'!Q9+'東部海岸富岡地質公園及加路蘭休憩區'!Q9+'水往上流遊憩區(113年起停計)'!Q9+'都歷處本部'!Q9+'三仙台遊憩區及周邊地區'!Q9+'八仙洞遊憩區'!Q9+'秀姑巒溪遊客中心園區'!Q9+'石梯坪遊憩區'!Q9+'磯崎海濱遊憩區(113年起停計)'!Q9+'花蓮海洋公園'!Q9+'花蓮遊客中心園區'!Q9+'豐濱鄉親不知子海上古道及周邊地區'!Q9</f>
        <v>267949</v>
      </c>
      <c r="R9" s="83">
        <f>'綠島遊憩區'!R9+'東部海岸富岡地質公園及加路蘭休憩區'!R9+'水往上流遊憩區(113年起停計)'!R9+'都歷處本部'!R9+'三仙台遊憩區及周邊地區'!R9+'八仙洞遊憩區'!R9+'秀姑巒溪遊客中心園區'!R9+'石梯坪遊憩區'!R9+'磯崎海濱遊憩區(113年起停計)'!R9+'花蓮海洋公園'!R9+'花蓮遊客中心園區'!R9+'豐濱鄉親不知子海上古道及周邊地區'!R9</f>
        <v>235326</v>
      </c>
      <c r="S9" s="83">
        <f>'綠島遊憩區'!S9+'東部海岸富岡地質公園及加路蘭休憩區'!S9+'水往上流遊憩區(113年起停計)'!S9+'都歷處本部'!S9+'三仙台遊憩區及周邊地區'!S9+'八仙洞遊憩區'!S9+'秀姑巒溪遊客中心園區'!S9+'石梯坪遊憩區'!S9+'磯崎海濱遊憩區(113年起停計)'!S9+'花蓮海洋公園'!S9+'花蓮遊客中心園區'!S9+'豐濱鄉親不知子海上古道及周邊地區'!S9</f>
        <v>194851</v>
      </c>
      <c r="T9" s="83">
        <f>'綠島遊憩區'!T9+'東部海岸富岡地質公園及加路蘭休憩區'!T9+'水往上流遊憩區(113年起停計)'!T9+'都歷處本部'!T9+'三仙台遊憩區及周邊地區'!T9+'八仙洞遊憩區'!T9+'秀姑巒溪遊客中心園區'!T9+'石梯坪遊憩區'!T9+'磯崎海濱遊憩區(113年起停計)'!T9+'花蓮海洋公園'!T9+'花蓮遊客中心園區'!T9+'豐濱鄉親不知子海上古道及周邊地區'!T9</f>
        <v>188197</v>
      </c>
      <c r="U9" s="83">
        <f>'綠島遊憩區'!U9+'東部海岸富岡地質公園及加路蘭休憩區'!U9+'水往上流遊憩區(113年起停計)'!U9+'都歷處本部'!U9+'三仙台遊憩區及周邊地區'!U9+'八仙洞遊憩區'!U9+'秀姑巒溪遊客中心園區'!U9+'石梯坪遊憩區'!U9+'磯崎海濱遊憩區(113年起停計)'!U9+'花蓮海洋公園'!U9+'花蓮遊客中心園區'!U9+'豐濱鄉親不知子海上古道及周邊地區'!U9</f>
        <v>206417</v>
      </c>
      <c r="V9" s="83">
        <f>'綠島遊憩區'!V9+'東部海岸富岡地質公園及加路蘭休憩區'!V9+'水往上流遊憩區(113年起停計)'!V9+'都歷處本部'!V9+'三仙台遊憩區及周邊地區'!V9+'八仙洞遊憩區'!V9+'秀姑巒溪遊客中心園區'!V9+'石梯坪遊憩區'!V9+'磯崎海濱遊憩區(113年起停計)'!V9+'花蓮海洋公園'!V9+'花蓮遊客中心園區'!V9+'豐濱鄉親不知子海上古道及周邊地區'!V9</f>
        <v>307814</v>
      </c>
      <c r="W9" s="83">
        <f>'綠島遊憩區'!W9+'東部海岸富岡地質公園及加路蘭休憩區'!W9+'水往上流遊憩區(113年起停計)'!W9+'都歷處本部'!W9+'三仙台遊憩區及周邊地區'!W9+'八仙洞遊憩區'!W9+'秀姑巒溪遊客中心園區'!W9+'石梯坪遊憩區'!W9+'磯崎海濱遊憩區(113年起停計)'!W9+'花蓮海洋公園'!W9+'花蓮遊客中心園區'!W9+'豐濱鄉親不知子海上古道及周邊地區'!W9</f>
        <v>278041</v>
      </c>
      <c r="X9" s="83">
        <f>'綠島遊憩區'!X9+'東部海岸富岡地質公園及加路蘭休憩區'!X9+'水往上流遊憩區(113年起停計)'!X9+'都歷處本部'!X9+'三仙台遊憩區及周邊地區'!X9+'八仙洞遊憩區'!X9+'秀姑巒溪遊客中心園區'!X9+'石梯坪遊憩區'!X9+'磯崎海濱遊憩區(113年起停計)'!X9+'花蓮海洋公園'!X9+'花蓮遊客中心園區'!X9+'豐濱鄉親不知子海上古道及周邊地區'!X9</f>
        <v>208386</v>
      </c>
      <c r="Y9" s="83">
        <f>'綠島遊憩區'!Y9+'東部海岸富岡地質公園及加路蘭休憩區'!Y9+'水往上流遊憩區(113年起停計)'!Y9+'都歷處本部'!Y9+'三仙台遊憩區及周邊地區'!Y9+'八仙洞遊憩區'!Y9+'秀姑巒溪遊客中心園區'!Y9+'石梯坪遊憩區'!Y9+'磯崎海濱遊憩區(113年起停計)'!Y9+'花蓮海洋公園'!Y9+'花蓮遊客中心園區'!Y9+'豐濱鄉親不知子海上古道及周邊地區'!Y9</f>
        <v>260272</v>
      </c>
      <c r="Z9" s="83">
        <f>'綠島遊憩區'!Z9+'東部海岸富岡地質公園及加路蘭休憩區'!Z9+'水往上流遊憩區(113年起停計)'!Z9+'都歷處本部'!Z9+'三仙台遊憩區及周邊地區'!Z9+'八仙洞遊憩區'!Z9+'秀姑巒溪遊客中心園區'!Z9+'石梯坪遊憩區'!Z9+'磯崎海濱遊憩區(113年起停計)'!Z9+'花蓮海洋公園'!Z9+'花蓮遊客中心園區'!Z9+'豐濱鄉親不知子海上古道及周邊地區'!Z9</f>
        <v>256911</v>
      </c>
      <c r="AA9" s="83">
        <f>'綠島遊憩區'!AA9+'東部海岸富岡地質公園及加路蘭休憩區'!AA9+'水往上流遊憩區(113年起停計)'!AA9+'都歷處本部'!AA9+'三仙台遊憩區及周邊地區'!AA9+'八仙洞遊憩區'!AA9+'秀姑巒溪遊客中心園區'!AA9+'石梯坪遊憩區'!AA9+'磯崎海濱遊憩區(113年起停計)'!AA9+'花蓮海洋公園'!AA9+'花蓮遊客中心園區'!AA9+'豐濱鄉親不知子海上古道及周邊地區'!AA9</f>
        <v>596187</v>
      </c>
      <c r="AB9" s="83">
        <f>'綠島遊憩區'!AB9+'東部海岸富岡地質公園及加路蘭休憩區'!AB9+'水往上流遊憩區(113年起停計)'!AB9+'都歷處本部'!AB9+'三仙台遊憩區及周邊地區'!AB9+'八仙洞遊憩區'!AB9+'秀姑巒溪遊客中心園區'!AB9+'石梯坪遊憩區'!AB9+'磯崎海濱遊憩區(113年起停計)'!AB9+'花蓮海洋公園'!AB9+'花蓮遊客中心園區'!AB9+'豐濱鄉親不知子海上古道及周邊地區'!AB9</f>
        <v>301037</v>
      </c>
      <c r="AC9" s="83">
        <f>'綠島遊憩區'!AC9+'東部海岸富岡地質公園及加路蘭休憩區'!AC9+'水往上流遊憩區(113年起停計)'!AC9+'都歷處本部'!AC9+'三仙台遊憩區及周邊地區'!AC9+'八仙洞遊憩區'!AC9+'秀姑巒溪遊客中心園區'!AC9+'石梯坪遊憩區'!AC9+'磯崎海濱遊憩區(113年起停計)'!AC9+'花蓮海洋公園'!AC9+'花蓮遊客中心園區'!AC9+'豐濱鄉親不知子海上古道及周邊地區'!AC9</f>
        <v>346121</v>
      </c>
      <c r="AD9" s="83">
        <f>'綠島遊憩區'!AD9+'東部海岸富岡地質公園及加路蘭休憩區'!AD9+'水往上流遊憩區(113年起停計)'!AD9+'都歷處本部'!AD9+'三仙台遊憩區及周邊地區'!AD9+'八仙洞遊憩區'!AD9+'秀姑巒溪遊客中心園區'!AD9+'石梯坪遊憩區'!AD9+'磯崎海濱遊憩區(113年起停計)'!AD9+'花蓮海洋公園'!AD9+'花蓮遊客中心園區'!AD9+'豐濱鄉親不知子海上古道及周邊地區'!AD9</f>
        <v>276081</v>
      </c>
      <c r="AE9" s="83">
        <f>'綠島遊憩區'!AE9+'東部海岸富岡地質公園及加路蘭休憩區'!AE9+'水往上流遊憩區(113年起停計)'!AE9+'都歷處本部'!AE9+'三仙台遊憩區及周邊地區'!AE9+'八仙洞遊憩區'!AE9+'秀姑巒溪遊客中心園區'!AE9+'石梯坪遊憩區'!AE9+'磯崎海濱遊憩區(113年起停計)'!AE9+'花蓮海洋公園'!AE9+'花蓮遊客中心園區'!AE9+'豐濱鄉親不知子海上古道及周邊地區'!AE9</f>
        <v>230689</v>
      </c>
      <c r="AF9" s="83">
        <f>'綠島遊憩區'!AF9+'東部海岸富岡地質公園及加路蘭休憩區'!AF9+'水往上流遊憩區(113年起停計)'!AF9+'都歷處本部'!AF9+'三仙台遊憩區及周邊地區'!AF9+'八仙洞遊憩區'!AF9+'秀姑巒溪遊客中心園區'!AF9+'石梯坪遊憩區'!AF9+'磯崎海濱遊憩區(113年起停計)'!AF9+'花蓮海洋公園'!AF9+'花蓮遊客中心園區'!AF9+'豐濱鄉親不知子海上古道及周邊地區'!AF9</f>
        <v>236732.29</v>
      </c>
      <c r="AG9" s="83">
        <f>'綠島遊憩區'!AG9+'東部海岸富岡地質公園及加路蘭休憩區'!AG9+'水往上流遊憩區(113年起停計)'!AG9+'都歷處本部'!AG9+'三仙台遊憩區及周邊地區'!AG9+'八仙洞遊憩區'!AG9+'秀姑巒溪遊客中心園區'!AG9+'石梯坪遊憩區'!AG9+'磯崎海濱遊憩區(113年起停計)'!AG9+'花蓮海洋公園'!AG9+'花蓮遊客中心園區'!AG9+'豐濱鄉親不知子海上古道及周邊地區'!AG9</f>
        <v>175547</v>
      </c>
      <c r="AH9" s="83">
        <f>'綠島遊憩區'!AH9+'東部海岸富岡地質公園及加路蘭休憩區'!AH9+'水往上流遊憩區(113年起停計)'!AH9+'都歷處本部'!AH9+'三仙台遊憩區及周邊地區'!AH9+'八仙洞遊憩區'!AH9+'秀姑巒溪遊客中心園區'!AH9+'石梯坪遊憩區'!AH9+'磯崎海濱遊憩區(113年起停計)'!AH9+'花蓮海洋公園'!AH9+'花蓮遊客中心園區'!AH9+'豐濱鄉親不知子海上古道及周邊地區'!AH9</f>
        <v>149675</v>
      </c>
      <c r="AI9" s="83">
        <f>'綠島遊憩區'!AI9+'東部海岸富岡地質公園及加路蘭休憩區'!AI9+'水往上流遊憩區(113年起停計)'!AI9+'都歷處本部'!AI9+'三仙台遊憩區及周邊地區'!AI9+'八仙洞遊憩區'!AI9+'秀姑巒溪遊客中心園區'!AI9+'石梯坪遊憩區'!AI9+'磯崎海濱遊憩區(113年起停計)'!AI9+'花蓮海洋公園'!AI9+'花蓮遊客中心園區'!AI9+'豐濱鄉親不知子海上古道及周邊地區'!AI9</f>
        <v>104469</v>
      </c>
      <c r="AJ9" s="83">
        <f>'綠島遊憩區'!AJ9+'東部海岸富岡地質公園及加路蘭休憩區'!AJ9+'水往上流遊憩區(113年起停計)'!AJ9+'都歷處本部'!AJ9+'三仙台遊憩區及周邊地區'!AJ9+'八仙洞遊憩區'!AJ9+'秀姑巒溪遊客中心園區'!AJ9+'石梯坪遊憩區'!AJ9+'磯崎海濱遊憩區(113年起停計)'!AJ9+'花蓮海洋公園'!AJ9+'花蓮遊客中心園區'!AJ9+'豐濱鄉親不知子海上古道及周邊地區'!AJ9</f>
        <v>218133</v>
      </c>
      <c r="AK9" s="83">
        <f>'綠島遊憩區'!AK9+'東部海岸富岡地質公園及加路蘭休憩區'!AK9+'都蘭遊憩區及周邊地區'!AK9+'都歷處本部'!AK9+'三仙台遊憩區及周邊地區'!AK9+'八仙洞遊憩區'!AK9+'秀姑巒溪遊客中心園區'!AK9+'石梯坪遊憩區'!AK9+'磯崎海濱遊憩區(113年起停計)'!AK9+'花蓮海洋公園'!AK9+'花蓮遊客中心園區'!AK9+'豐濱鄉親不知子海上古道及周邊地區'!AK9</f>
        <v>465779</v>
      </c>
      <c r="AL9" s="83">
        <f>'綠島遊憩區'!AL9+'東部海岸富岡地質公園及加路蘭休憩區'!AL9+'都蘭遊憩區及周邊地區'!AL9+'都歷處本部'!AL9+'三仙台遊憩區及周邊地區'!AL9+'八仙洞遊憩區'!AL9+'秀姑巒溪遊客中心園區'!AL9+'石梯坪遊憩區'!AL9+'磯崎海濱遊憩區(113年起停計)'!AL9+'花蓮海洋公園'!AL9+'花蓮遊客中心園區'!AL9+'豐濱鄉親不知子海上古道及周邊地區'!AL9</f>
        <v>629474</v>
      </c>
      <c r="AM9" s="83">
        <f>'綠島遊憩區'!AM9+'東部海岸富岡地質公園及加路蘭休憩區'!AM9+'都蘭遊憩區及周邊地區'!AM9+'都歷處本部'!AM9+'三仙台遊憩區及周邊地區'!AM9+'八仙洞遊憩區'!AM9+'秀姑巒溪遊客中心園區'!AM9+'石梯坪遊憩區'!AM9+'磯崎海濱遊憩區(113年起停計)'!AM9+'花蓮海洋公園'!AM9+'花蓮遊客中心園區'!AM9+'豐濱鄉親不知子海上古道及周邊地區'!AM9</f>
        <v>369510</v>
      </c>
      <c r="AN9" s="83">
        <f>'綠島遊憩區'!AN9+'東部海岸富岡地質公園及加路蘭休憩區'!AN9+'都蘭遊憩區及周邊地區'!AN9+'都歷處本部'!AN9+'三仙台遊憩區及周邊地區'!AN9+'八仙洞遊憩區'!AN9+'秀姑巒溪遊客中心園區'!AN9+'石梯坪遊憩區'!AN9+'磯崎海濱遊憩區(113年起停計)'!AN9+'花蓮海洋公園'!AN9+'花蓮遊客中心園區'!AN9+'豐濱鄉親不知子海上古道及周邊地區'!AN9</f>
        <v>0</v>
      </c>
      <c r="AO9" s="83">
        <f>'綠島遊憩區'!AO9+'東部海岸富岡地質公園及加路蘭休憩區'!AO9+'都蘭遊憩區及周邊地區'!AO9+'都歷處本部'!AO9+'三仙台遊憩區及周邊地區'!AO9+'八仙洞遊憩區'!AO9+'秀姑巒溪遊客中心園區'!AO9+'石梯坪遊憩區'!AO9+'磯崎海濱遊憩區(113年起停計)'!AO9+'花蓮海洋公園'!AO9+'花蓮遊客中心園區'!AO9+'豐濱鄉親不知子海上古道及周邊地區'!AO9</f>
        <v>0</v>
      </c>
      <c r="AP9" s="83">
        <f>'綠島遊憩區'!AP9+'東部海岸富岡地質公園及加路蘭休憩區'!AP9+'都蘭遊憩區及周邊地區'!AP9+'都歷處本部'!AP9+'三仙台遊憩區及周邊地區'!AP9+'八仙洞遊憩區'!AP9+'秀姑巒溪遊客中心園區'!AP9+'石梯坪遊憩區'!AP9+'磯崎海濱遊憩區(113年起停計)'!AP9+'花蓮海洋公園'!AP9+'花蓮遊客中心園區'!AP9+'豐濱鄉親不知子海上古道及周邊地區'!AP9</f>
        <v>0</v>
      </c>
      <c r="AQ9" s="83">
        <f>'綠島遊憩區'!AQ9+'東部海岸富岡地質公園及加路蘭休憩區'!AQ9+'都蘭遊憩區及周邊地區'!AQ9+'都歷處本部'!AQ9+'三仙台遊憩區及周邊地區'!AQ9+'八仙洞遊憩區'!AQ9+'秀姑巒溪遊客中心園區'!AQ9+'石梯坪遊憩區'!AQ9+'磯崎海濱遊憩區(113年起停計)'!AQ9+'花蓮海洋公園'!AQ9+'花蓮遊客中心園區'!AQ9+'豐濱鄉親不知子海上古道及周邊地區'!AQ9</f>
        <v>0</v>
      </c>
      <c r="AR9" s="84">
        <f>'綠島遊憩區'!AR9+'東部海岸富岡地質公園及加路蘭休憩區'!AR9+'都蘭遊憩區及周邊地區'!AR9+'都歷處本部'!AR9+'三仙台遊憩區及周邊地區'!AR9+'八仙洞遊憩區'!AR9+'秀姑巒溪遊客中心園區'!AR9+'石梯坪遊憩區'!AR9+'磯崎海濱遊憩區(113年起停計)'!AR9+'花蓮海洋公園'!AR9+'花蓮遊客中心園區'!AR9+'豐濱鄉親不知子海上古道及周邊地區'!AR9</f>
        <v>0</v>
      </c>
    </row>
    <row r="10" ht="15.75" customHeight="1">
      <c r="A10" s="82" t="s">
        <v>86</v>
      </c>
      <c r="B10" s="83">
        <f>'綠島遊憩區'!B10+'東部海岸富岡地質公園及加路蘭休憩區'!B10+'水往上流遊憩區(113年起停計)'!B10+'都歷處本部'!B10+'三仙台遊憩區及周邊地區'!B10+'八仙洞遊憩區'!B10+'秀姑巒溪遊客中心園區'!B10+'石梯坪遊憩區'!B10+'磯崎海濱遊憩區(113年起停計)'!B10+'花蓮海洋公園'!B10+'花蓮遊客中心園區'!B10+'豐濱鄉親不知子海上古道及周邊地區'!B10</f>
        <v>22899</v>
      </c>
      <c r="C10" s="83">
        <f>'綠島遊憩區'!C10+'東部海岸富岡地質公園及加路蘭休憩區'!C10+'水往上流遊憩區(113年起停計)'!C10+'都歷處本部'!C10+'三仙台遊憩區及周邊地區'!C10+'八仙洞遊憩區'!C10+'秀姑巒溪遊客中心園區'!C10+'石梯坪遊憩區'!C10+'磯崎海濱遊憩區(113年起停計)'!C10+'花蓮海洋公園'!C10+'花蓮遊客中心園區'!C10+'豐濱鄉親不知子海上古道及周邊地區'!C10</f>
        <v>10577</v>
      </c>
      <c r="D10" s="83">
        <f>'綠島遊憩區'!D10+'東部海岸富岡地質公園及加路蘭休憩區'!D10+'水往上流遊憩區(113年起停計)'!D10+'都歷處本部'!D10+'三仙台遊憩區及周邊地區'!D10+'八仙洞遊憩區'!D10+'秀姑巒溪遊客中心園區'!D10+'石梯坪遊憩區'!D10+'磯崎海濱遊憩區(113年起停計)'!D10+'花蓮海洋公園'!D10+'花蓮遊客中心園區'!D10+'豐濱鄉親不知子海上古道及周邊地區'!D10</f>
        <v>9057</v>
      </c>
      <c r="E10" s="83">
        <f>'綠島遊憩區'!E10+'東部海岸富岡地質公園及加路蘭休憩區'!E10+'水往上流遊憩區(113年起停計)'!E10+'都歷處本部'!E10+'三仙台遊憩區及周邊地區'!E10+'八仙洞遊憩區'!E10+'秀姑巒溪遊客中心園區'!E10+'石梯坪遊憩區'!E10+'磯崎海濱遊憩區(113年起停計)'!E10+'花蓮海洋公園'!E10+'花蓮遊客中心園區'!E10+'豐濱鄉親不知子海上古道及周邊地區'!E10</f>
        <v>11310</v>
      </c>
      <c r="F10" s="83">
        <f>'綠島遊憩區'!F10+'東部海岸富岡地質公園及加路蘭休憩區'!F10+'水往上流遊憩區(113年起停計)'!F10+'都歷處本部'!F10+'三仙台遊憩區及周邊地區'!F10+'八仙洞遊憩區'!F10+'秀姑巒溪遊客中心園區'!F10+'石梯坪遊憩區'!F10+'磯崎海濱遊憩區(113年起停計)'!F10+'花蓮海洋公園'!F10+'花蓮遊客中心園區'!F10+'豐濱鄉親不知子海上古道及周邊地區'!F10</f>
        <v>11219</v>
      </c>
      <c r="G10" s="83">
        <f>'綠島遊憩區'!G10+'東部海岸富岡地質公園及加路蘭休憩區'!G10+'水往上流遊憩區(113年起停計)'!G10+'都歷處本部'!G10+'三仙台遊憩區及周邊地區'!G10+'八仙洞遊憩區'!G10+'秀姑巒溪遊客中心園區'!G10+'石梯坪遊憩區'!G10+'磯崎海濱遊憩區(113年起停計)'!G10+'花蓮海洋公園'!G10+'花蓮遊客中心園區'!G10+'豐濱鄉親不知子海上古道及周邊地區'!G10</f>
        <v>15887</v>
      </c>
      <c r="H10" s="83">
        <f>'綠島遊憩區'!H10+'東部海岸富岡地質公園及加路蘭休憩區'!H10+'水往上流遊憩區(113年起停計)'!H10+'都歷處本部'!H10+'三仙台遊憩區及周邊地區'!H10+'八仙洞遊憩區'!H10+'秀姑巒溪遊客中心園區'!H10+'石梯坪遊憩區'!H10+'磯崎海濱遊憩區(113年起停計)'!H10+'花蓮海洋公園'!H10+'花蓮遊客中心園區'!H10+'豐濱鄉親不知子海上古道及周邊地區'!H10</f>
        <v>21463</v>
      </c>
      <c r="I10" s="83">
        <f>'綠島遊憩區'!I10+'東部海岸富岡地質公園及加路蘭休憩區'!I10+'水往上流遊憩區(113年起停計)'!I10+'都歷處本部'!I10+'三仙台遊憩區及周邊地區'!I10+'八仙洞遊憩區'!I10+'秀姑巒溪遊客中心園區'!I10+'石梯坪遊憩區'!I10+'磯崎海濱遊憩區(113年起停計)'!I10+'花蓮海洋公園'!I10+'花蓮遊客中心園區'!I10+'豐濱鄉親不知子海上古道及周邊地區'!I10</f>
        <v>10609</v>
      </c>
      <c r="J10" s="83">
        <f>'綠島遊憩區'!J10+'東部海岸富岡地質公園及加路蘭休憩區'!J10+'水往上流遊憩區(113年起停計)'!J10+'都歷處本部'!J10+'三仙台遊憩區及周邊地區'!J10+'八仙洞遊憩區'!J10+'秀姑巒溪遊客中心園區'!J10+'石梯坪遊憩區'!J10+'磯崎海濱遊憩區(113年起停計)'!J10+'花蓮海洋公園'!J10+'花蓮遊客中心園區'!J10+'豐濱鄉親不知子海上古道及周邊地區'!J10</f>
        <v>21414</v>
      </c>
      <c r="K10" s="83">
        <f>'綠島遊憩區'!K10+'東部海岸富岡地質公園及加路蘭休憩區'!K10+'水往上流遊憩區(113年起停計)'!K10+'都歷處本部'!K10+'三仙台遊憩區及周邊地區'!K10+'八仙洞遊憩區'!K10+'秀姑巒溪遊客中心園區'!K10+'石梯坪遊憩區'!K10+'磯崎海濱遊憩區(113年起停計)'!K10+'花蓮海洋公園'!K10+'花蓮遊客中心園區'!K10+'豐濱鄉親不知子海上古道及周邊地區'!K10</f>
        <v>66518</v>
      </c>
      <c r="L10" s="83">
        <f>'綠島遊憩區'!L10+'東部海岸富岡地質公園及加路蘭休憩區'!L10+'水往上流遊憩區(113年起停計)'!L10+'都歷處本部'!L10+'三仙台遊憩區及周邊地區'!L10+'八仙洞遊憩區'!L10+'秀姑巒溪遊客中心園區'!L10+'石梯坪遊憩區'!L10+'磯崎海濱遊憩區(113年起停計)'!L10+'花蓮海洋公園'!L10+'花蓮遊客中心園區'!L10+'豐濱鄉親不知子海上古道及周邊地區'!L10</f>
        <v>60118</v>
      </c>
      <c r="M10" s="83">
        <f>'綠島遊憩區'!M10+'東部海岸富岡地質公園及加路蘭休憩區'!M10+'水往上流遊憩區(113年起停計)'!M10+'都歷處本部'!M10+'三仙台遊憩區及周邊地區'!M10+'八仙洞遊憩區'!M10+'秀姑巒溪遊客中心園區'!M10+'石梯坪遊憩區'!M10+'磯崎海濱遊憩區(113年起停計)'!M10+'花蓮海洋公園'!M10+'花蓮遊客中心園區'!M10+'豐濱鄉親不知子海上古道及周邊地區'!M10</f>
        <v>229452</v>
      </c>
      <c r="N10" s="83">
        <f>'綠島遊憩區'!N10+'東部海岸富岡地質公園及加路蘭休憩區'!N10+'水往上流遊憩區(113年起停計)'!N10+'都歷處本部'!N10+'三仙台遊憩區及周邊地區'!N10+'八仙洞遊憩區'!N10+'秀姑巒溪遊客中心園區'!N10+'石梯坪遊憩區'!N10+'磯崎海濱遊憩區(113年起停計)'!N10+'花蓮海洋公園'!N10+'花蓮遊客中心園區'!N10+'豐濱鄉親不知子海上古道及周邊地區'!N10</f>
        <v>212689</v>
      </c>
      <c r="O10" s="83">
        <f>'綠島遊憩區'!O10+'東部海岸富岡地質公園及加路蘭休憩區'!O10+'水往上流遊憩區(113年起停計)'!O10+'都歷處本部'!O10+'三仙台遊憩區及周邊地區'!O10+'八仙洞遊憩區'!O10+'秀姑巒溪遊客中心園區'!O10+'石梯坪遊憩區'!O10+'磯崎海濱遊憩區(113年起停計)'!O10+'花蓮海洋公園'!O10+'花蓮遊客中心園區'!O10+'豐濱鄉親不知子海上古道及周邊地區'!O10</f>
        <v>178753</v>
      </c>
      <c r="P10" s="83">
        <f>'綠島遊憩區'!P10+'東部海岸富岡地質公園及加路蘭休憩區'!P10+'水往上流遊憩區(113年起停計)'!P10+'都歷處本部'!P10+'三仙台遊憩區及周邊地區'!P10+'八仙洞遊憩區'!P10+'秀姑巒溪遊客中心園區'!P10+'石梯坪遊憩區'!P10+'磯崎海濱遊憩區(113年起停計)'!P10+'花蓮海洋公園'!P10+'花蓮遊客中心園區'!P10+'豐濱鄉親不知子海上古道及周邊地區'!P10</f>
        <v>171727</v>
      </c>
      <c r="Q10" s="83">
        <f>'綠島遊憩區'!Q10+'東部海岸富岡地質公園及加路蘭休憩區'!Q10+'水往上流遊憩區(113年起停計)'!Q10+'都歷處本部'!Q10+'三仙台遊憩區及周邊地區'!Q10+'八仙洞遊憩區'!Q10+'秀姑巒溪遊客中心園區'!Q10+'石梯坪遊憩區'!Q10+'磯崎海濱遊憩區(113年起停計)'!Q10+'花蓮海洋公園'!Q10+'花蓮遊客中心園區'!Q10+'豐濱鄉親不知子海上古道及周邊地區'!Q10</f>
        <v>319744</v>
      </c>
      <c r="R10" s="83">
        <f>'綠島遊憩區'!R10+'東部海岸富岡地質公園及加路蘭休憩區'!R10+'水往上流遊憩區(113年起停計)'!R10+'都歷處本部'!R10+'三仙台遊憩區及周邊地區'!R10+'八仙洞遊憩區'!R10+'秀姑巒溪遊客中心園區'!R10+'石梯坪遊憩區'!R10+'磯崎海濱遊憩區(113年起停計)'!R10+'花蓮海洋公園'!R10+'花蓮遊客中心園區'!R10+'豐濱鄉親不知子海上古道及周邊地區'!R10</f>
        <v>280800</v>
      </c>
      <c r="S10" s="83">
        <f>'綠島遊憩區'!S10+'東部海岸富岡地質公園及加路蘭休憩區'!S10+'水往上流遊憩區(113年起停計)'!S10+'都歷處本部'!S10+'三仙台遊憩區及周邊地區'!S10+'八仙洞遊憩區'!S10+'秀姑巒溪遊客中心園區'!S10+'石梯坪遊憩區'!S10+'磯崎海濱遊憩區(113年起停計)'!S10+'花蓮海洋公園'!S10+'花蓮遊客中心園區'!S10+'豐濱鄉親不知子海上古道及周邊地區'!S10</f>
        <v>227225</v>
      </c>
      <c r="T10" s="83">
        <f>'綠島遊憩區'!T10+'東部海岸富岡地質公園及加路蘭休憩區'!T10+'水往上流遊憩區(113年起停計)'!T10+'都歷處本部'!T10+'三仙台遊憩區及周邊地區'!T10+'八仙洞遊憩區'!T10+'秀姑巒溪遊客中心園區'!T10+'石梯坪遊憩區'!T10+'磯崎海濱遊憩區(113年起停計)'!T10+'花蓮海洋公園'!T10+'花蓮遊客中心園區'!T10+'豐濱鄉親不知子海上古道及周邊地區'!T10</f>
        <v>237324</v>
      </c>
      <c r="U10" s="83">
        <f>'綠島遊憩區'!U10+'東部海岸富岡地質公園及加路蘭休憩區'!U10+'水往上流遊憩區(113年起停計)'!U10+'都歷處本部'!U10+'三仙台遊憩區及周邊地區'!U10+'八仙洞遊憩區'!U10+'秀姑巒溪遊客中心園區'!U10+'石梯坪遊憩區'!U10+'磯崎海濱遊憩區(113年起停計)'!U10+'花蓮海洋公園'!U10+'花蓮遊客中心園區'!U10+'豐濱鄉親不知子海上古道及周邊地區'!U10</f>
        <v>197173</v>
      </c>
      <c r="V10" s="83">
        <f>'綠島遊憩區'!V10+'東部海岸富岡地質公園及加路蘭休憩區'!V10+'水往上流遊憩區(113年起停計)'!V10+'都歷處本部'!V10+'三仙台遊憩區及周邊地區'!V10+'八仙洞遊憩區'!V10+'秀姑巒溪遊客中心園區'!V10+'石梯坪遊憩區'!V10+'磯崎海濱遊憩區(113年起停計)'!V10+'花蓮海洋公園'!V10+'花蓮遊客中心園區'!V10+'豐濱鄉親不知子海上古道及周邊地區'!V10</f>
        <v>219831</v>
      </c>
      <c r="W10" s="83">
        <f>'綠島遊憩區'!W10+'東部海岸富岡地質公園及加路蘭休憩區'!W10+'水往上流遊憩區(113年起停計)'!W10+'都歷處本部'!W10+'三仙台遊憩區及周邊地區'!W10+'八仙洞遊憩區'!W10+'秀姑巒溪遊客中心園區'!W10+'石梯坪遊憩區'!W10+'磯崎海濱遊憩區(113年起停計)'!W10+'花蓮海洋公園'!W10+'花蓮遊客中心園區'!W10+'豐濱鄉親不知子海上古道及周邊地區'!W10</f>
        <v>255133</v>
      </c>
      <c r="X10" s="83">
        <f>'綠島遊憩區'!X10+'東部海岸富岡地質公園及加路蘭休憩區'!X10+'水往上流遊憩區(113年起停計)'!X10+'都歷處本部'!X10+'三仙台遊憩區及周邊地區'!X10+'八仙洞遊憩區'!X10+'秀姑巒溪遊客中心園區'!X10+'石梯坪遊憩區'!X10+'磯崎海濱遊憩區(113年起停計)'!X10+'花蓮海洋公園'!X10+'花蓮遊客中心園區'!X10+'豐濱鄉親不知子海上古道及周邊地區'!X10</f>
        <v>249444</v>
      </c>
      <c r="Y10" s="83">
        <f>'綠島遊憩區'!Y10+'東部海岸富岡地質公園及加路蘭休憩區'!Y10+'水往上流遊憩區(113年起停計)'!Y10+'都歷處本部'!Y10+'三仙台遊憩區及周邊地區'!Y10+'八仙洞遊憩區'!Y10+'秀姑巒溪遊客中心園區'!Y10+'石梯坪遊憩區'!Y10+'磯崎海濱遊憩區(113年起停計)'!Y10+'花蓮海洋公園'!Y10+'花蓮遊客中心園區'!Y10+'豐濱鄉親不知子海上古道及周邊地區'!Y10</f>
        <v>233967</v>
      </c>
      <c r="Z10" s="83">
        <f>'綠島遊憩區'!Z10+'東部海岸富岡地質公園及加路蘭休憩區'!Z10+'水往上流遊憩區(113年起停計)'!Z10+'都歷處本部'!Z10+'三仙台遊憩區及周邊地區'!Z10+'八仙洞遊憩區'!Z10+'秀姑巒溪遊客中心園區'!Z10+'石梯坪遊憩區'!Z10+'磯崎海濱遊憩區(113年起停計)'!Z10+'花蓮海洋公園'!Z10+'花蓮遊客中心園區'!Z10+'豐濱鄉親不知子海上古道及周邊地區'!Z10</f>
        <v>327106</v>
      </c>
      <c r="AA10" s="83">
        <f>'綠島遊憩區'!AA10+'東部海岸富岡地質公園及加路蘭休憩區'!AA10+'水往上流遊憩區(113年起停計)'!AA10+'都歷處本部'!AA10+'三仙台遊憩區及周邊地區'!AA10+'八仙洞遊憩區'!AA10+'秀姑巒溪遊客中心園區'!AA10+'石梯坪遊憩區'!AA10+'磯崎海濱遊憩區(113年起停計)'!AA10+'花蓮海洋公園'!AA10+'花蓮遊客中心園區'!AA10+'豐濱鄉親不知子海上古道及周邊地區'!AA10</f>
        <v>525455</v>
      </c>
      <c r="AB10" s="83">
        <f>'綠島遊憩區'!AB10+'東部海岸富岡地質公園及加路蘭休憩區'!AB10+'水往上流遊憩區(113年起停計)'!AB10+'都歷處本部'!AB10+'三仙台遊憩區及周邊地區'!AB10+'八仙洞遊憩區'!AB10+'秀姑巒溪遊客中心園區'!AB10+'石梯坪遊憩區'!AB10+'磯崎海濱遊憩區(113年起停計)'!AB10+'花蓮海洋公園'!AB10+'花蓮遊客中心園區'!AB10+'豐濱鄉親不知子海上古道及周邊地區'!AB10</f>
        <v>273717</v>
      </c>
      <c r="AC10" s="83">
        <f>'綠島遊憩區'!AC10+'東部海岸富岡地質公園及加路蘭休憩區'!AC10+'水往上流遊憩區(113年起停計)'!AC10+'都歷處本部'!AC10+'三仙台遊憩區及周邊地區'!AC10+'八仙洞遊憩區'!AC10+'秀姑巒溪遊客中心園區'!AC10+'石梯坪遊憩區'!AC10+'磯崎海濱遊憩區(113年起停計)'!AC10+'花蓮海洋公園'!AC10+'花蓮遊客中心園區'!AC10+'豐濱鄉親不知子海上古道及周邊地區'!AC10</f>
        <v>345766</v>
      </c>
      <c r="AD10" s="83">
        <f>'綠島遊憩區'!AD10+'東部海岸富岡地質公園及加路蘭休憩區'!AD10+'水往上流遊憩區(113年起停計)'!AD10+'都歷處本部'!AD10+'三仙台遊憩區及周邊地區'!AD10+'八仙洞遊憩區'!AD10+'秀姑巒溪遊客中心園區'!AD10+'石梯坪遊憩區'!AD10+'磯崎海濱遊憩區(113年起停計)'!AD10+'花蓮海洋公園'!AD10+'花蓮遊客中心園區'!AD10+'豐濱鄉親不知子海上古道及周邊地區'!AD10</f>
        <v>197563</v>
      </c>
      <c r="AE10" s="83">
        <f>'綠島遊憩區'!AE10+'東部海岸富岡地質公園及加路蘭休憩區'!AE10+'水往上流遊憩區(113年起停計)'!AE10+'都歷處本部'!AE10+'三仙台遊憩區及周邊地區'!AE10+'八仙洞遊憩區'!AE10+'秀姑巒溪遊客中心園區'!AE10+'石梯坪遊憩區'!AE10+'磯崎海濱遊憩區(113年起停計)'!AE10+'花蓮海洋公園'!AE10+'花蓮遊客中心園區'!AE10+'豐濱鄉親不知子海上古道及周邊地區'!AE10</f>
        <v>246950.29</v>
      </c>
      <c r="AF10" s="83">
        <f>'綠島遊憩區'!AF10+'東部海岸富岡地質公園及加路蘭休憩區'!AF10+'水往上流遊憩區(113年起停計)'!AF10+'都歷處本部'!AF10+'三仙台遊憩區及周邊地區'!AF10+'八仙洞遊憩區'!AF10+'秀姑巒溪遊客中心園區'!AF10+'石梯坪遊憩區'!AF10+'磯崎海濱遊憩區(113年起停計)'!AF10+'花蓮海洋公園'!AF10+'花蓮遊客中心園區'!AF10+'豐濱鄉親不知子海上古道及周邊地區'!AF10</f>
        <v>310140.47</v>
      </c>
      <c r="AG10" s="83">
        <f>'綠島遊憩區'!AG10+'東部海岸富岡地質公園及加路蘭休憩區'!AG10+'水往上流遊憩區(113年起停計)'!AG10+'都歷處本部'!AG10+'三仙台遊憩區及周邊地區'!AG10+'八仙洞遊憩區'!AG10+'秀姑巒溪遊客中心園區'!AG10+'石梯坪遊憩區'!AG10+'磯崎海濱遊憩區(113年起停計)'!AG10+'花蓮海洋公園'!AG10+'花蓮遊客中心園區'!AG10+'豐濱鄉親不知子海上古道及周邊地區'!AG10</f>
        <v>372988</v>
      </c>
      <c r="AH10" s="83">
        <f>'綠島遊憩區'!AH10+'東部海岸富岡地質公園及加路蘭休憩區'!AH10+'水往上流遊憩區(113年起停計)'!AH10+'都歷處本部'!AH10+'三仙台遊憩區及周邊地區'!AH10+'八仙洞遊憩區'!AH10+'秀姑巒溪遊客中心園區'!AH10+'石梯坪遊憩區'!AH10+'磯崎海濱遊憩區(113年起停計)'!AH10+'花蓮海洋公園'!AH10+'花蓮遊客中心園區'!AH10+'豐濱鄉親不知子海上古道及周邊地區'!AH10</f>
        <v>937</v>
      </c>
      <c r="AI10" s="83">
        <f>'綠島遊憩區'!AI10+'東部海岸富岡地質公園及加路蘭休憩區'!AI10+'水往上流遊憩區(113年起停計)'!AI10+'都歷處本部'!AI10+'三仙台遊憩區及周邊地區'!AI10+'八仙洞遊憩區'!AI10+'秀姑巒溪遊客中心園區'!AI10+'石梯坪遊憩區'!AI10+'磯崎海濱遊憩區(113年起停計)'!AI10+'花蓮海洋公園'!AI10+'花蓮遊客中心園區'!AI10+'豐濱鄉親不知子海上古道及周邊地區'!AI10</f>
        <v>191944</v>
      </c>
      <c r="AJ10" s="83">
        <f>'綠島遊憩區'!AJ10+'東部海岸富岡地質公園及加路蘭休憩區'!AJ10+'水往上流遊憩區(113年起停計)'!AJ10+'都歷處本部'!AJ10+'三仙台遊憩區及周邊地區'!AJ10+'八仙洞遊憩區'!AJ10+'秀姑巒溪遊客中心園區'!AJ10+'石梯坪遊憩區'!AJ10+'磯崎海濱遊憩區(113年起停計)'!AJ10+'花蓮海洋公園'!AJ10+'花蓮遊客中心園區'!AJ10+'豐濱鄉親不知子海上古道及周邊地區'!AJ10</f>
        <v>284173</v>
      </c>
      <c r="AK10" s="83">
        <f>'綠島遊憩區'!AK10+'東部海岸富岡地質公園及加路蘭休憩區'!AK10+'都蘭遊憩區及周邊地區'!AK10+'都歷處本部'!AK10+'三仙台遊憩區及周邊地區'!AK10+'八仙洞遊憩區'!AK10+'秀姑巒溪遊客中心園區'!AK10+'石梯坪遊憩區'!AK10+'磯崎海濱遊憩區(113年起停計)'!AK10+'花蓮海洋公園'!AK10+'花蓮遊客中心園區'!AK10+'豐濱鄉親不知子海上古道及周邊地區'!AK10</f>
        <v>560645</v>
      </c>
      <c r="AL10" s="83">
        <f>'綠島遊憩區'!AL10+'東部海岸富岡地質公園及加路蘭休憩區'!AL10+'都蘭遊憩區及周邊地區'!AL10+'都歷處本部'!AL10+'三仙台遊憩區及周邊地區'!AL10+'八仙洞遊憩區'!AL10+'秀姑巒溪遊客中心園區'!AL10+'石梯坪遊憩區'!AL10+'磯崎海濱遊憩區(113年起停計)'!AL10+'花蓮海洋公園'!AL10+'花蓮遊客中心園區'!AL10+'豐濱鄉親不知子海上古道及周邊地區'!AL10</f>
        <v>600751</v>
      </c>
      <c r="AM10" s="83">
        <f>'綠島遊憩區'!AM10+'東部海岸富岡地質公園及加路蘭休憩區'!AM10+'都蘭遊憩區及周邊地區'!AM10+'都歷處本部'!AM10+'三仙台遊憩區及周邊地區'!AM10+'八仙洞遊憩區'!AM10+'秀姑巒溪遊客中心園區'!AM10+'石梯坪遊憩區'!AM10+'磯崎海濱遊憩區(113年起停計)'!AM10+'花蓮海洋公園'!AM10+'花蓮遊客中心園區'!AM10+'豐濱鄉親不知子海上古道及周邊地區'!AM10</f>
        <v>275471</v>
      </c>
      <c r="AN10" s="83">
        <f>'綠島遊憩區'!AN10+'東部海岸富岡地質公園及加路蘭休憩區'!AN10+'都蘭遊憩區及周邊地區'!AN10+'都歷處本部'!AN10+'三仙台遊憩區及周邊地區'!AN10+'八仙洞遊憩區'!AN10+'秀姑巒溪遊客中心園區'!AN10+'石梯坪遊憩區'!AN10+'磯崎海濱遊憩區(113年起停計)'!AN10+'花蓮海洋公園'!AN10+'花蓮遊客中心園區'!AN10+'豐濱鄉親不知子海上古道及周邊地區'!AN10</f>
        <v>0</v>
      </c>
      <c r="AO10" s="83">
        <f>'綠島遊憩區'!AO10+'東部海岸富岡地質公園及加路蘭休憩區'!AO10+'都蘭遊憩區及周邊地區'!AO10+'都歷處本部'!AO10+'三仙台遊憩區及周邊地區'!AO10+'八仙洞遊憩區'!AO10+'秀姑巒溪遊客中心園區'!AO10+'石梯坪遊憩區'!AO10+'磯崎海濱遊憩區(113年起停計)'!AO10+'花蓮海洋公園'!AO10+'花蓮遊客中心園區'!AO10+'豐濱鄉親不知子海上古道及周邊地區'!AO10</f>
        <v>0</v>
      </c>
      <c r="AP10" s="83">
        <f>'綠島遊憩區'!AP10+'東部海岸富岡地質公園及加路蘭休憩區'!AP10+'都蘭遊憩區及周邊地區'!AP10+'都歷處本部'!AP10+'三仙台遊憩區及周邊地區'!AP10+'八仙洞遊憩區'!AP10+'秀姑巒溪遊客中心園區'!AP10+'石梯坪遊憩區'!AP10+'磯崎海濱遊憩區(113年起停計)'!AP10+'花蓮海洋公園'!AP10+'花蓮遊客中心園區'!AP10+'豐濱鄉親不知子海上古道及周邊地區'!AP10</f>
        <v>0</v>
      </c>
      <c r="AQ10" s="83">
        <f>'綠島遊憩區'!AQ10+'東部海岸富岡地質公園及加路蘭休憩區'!AQ10+'都蘭遊憩區及周邊地區'!AQ10+'都歷處本部'!AQ10+'三仙台遊憩區及周邊地區'!AQ10+'八仙洞遊憩區'!AQ10+'秀姑巒溪遊客中心園區'!AQ10+'石梯坪遊憩區'!AQ10+'磯崎海濱遊憩區(113年起停計)'!AQ10+'花蓮海洋公園'!AQ10+'花蓮遊客中心園區'!AQ10+'豐濱鄉親不知子海上古道及周邊地區'!AQ10</f>
        <v>0</v>
      </c>
      <c r="AR10" s="84">
        <f>'綠島遊憩區'!AR10+'東部海岸富岡地質公園及加路蘭休憩區'!AR10+'都蘭遊憩區及周邊地區'!AR10+'都歷處本部'!AR10+'三仙台遊憩區及周邊地區'!AR10+'八仙洞遊憩區'!AR10+'秀姑巒溪遊客中心園區'!AR10+'石梯坪遊憩區'!AR10+'磯崎海濱遊憩區(113年起停計)'!AR10+'花蓮海洋公園'!AR10+'花蓮遊客中心園區'!AR10+'豐濱鄉親不知子海上古道及周邊地區'!AR10</f>
        <v>0</v>
      </c>
    </row>
    <row r="11" ht="15.75" customHeight="1">
      <c r="A11" s="82" t="s">
        <v>87</v>
      </c>
      <c r="B11" s="83">
        <f>'綠島遊憩區'!B11+'東部海岸富岡地質公園及加路蘭休憩區'!B11+'水往上流遊憩區(113年起停計)'!B11+'都歷處本部'!B11+'三仙台遊憩區及周邊地區'!B11+'八仙洞遊憩區'!B11+'秀姑巒溪遊客中心園區'!B11+'石梯坪遊憩區'!B11+'磯崎海濱遊憩區(113年起停計)'!B11+'花蓮海洋公園'!B11+'花蓮遊客中心園區'!B11+'豐濱鄉親不知子海上古道及周邊地區'!B11</f>
        <v>20029</v>
      </c>
      <c r="C11" s="83">
        <f>'綠島遊憩區'!C11+'東部海岸富岡地質公園及加路蘭休憩區'!C11+'水往上流遊憩區(113年起停計)'!C11+'都歷處本部'!C11+'三仙台遊憩區及周邊地區'!C11+'八仙洞遊憩區'!C11+'秀姑巒溪遊客中心園區'!C11+'石梯坪遊憩區'!C11+'磯崎海濱遊憩區(113年起停計)'!C11+'花蓮海洋公園'!C11+'花蓮遊客中心園區'!C11+'豐濱鄉親不知子海上古道及周邊地區'!C11</f>
        <v>26037</v>
      </c>
      <c r="D11" s="83">
        <f>'綠島遊憩區'!D11+'東部海岸富岡地質公園及加路蘭休憩區'!D11+'水往上流遊憩區(113年起停計)'!D11+'都歷處本部'!D11+'三仙台遊憩區及周邊地區'!D11+'八仙洞遊憩區'!D11+'秀姑巒溪遊客中心園區'!D11+'石梯坪遊憩區'!D11+'磯崎海濱遊憩區(113年起停計)'!D11+'花蓮海洋公園'!D11+'花蓮遊客中心園區'!D11+'豐濱鄉親不知子海上古道及周邊地區'!D11</f>
        <v>18373</v>
      </c>
      <c r="E11" s="83">
        <f>'綠島遊憩區'!E11+'東部海岸富岡地質公園及加路蘭休憩區'!E11+'水往上流遊憩區(113年起停計)'!E11+'都歷處本部'!E11+'三仙台遊憩區及周邊地區'!E11+'八仙洞遊憩區'!E11+'秀姑巒溪遊客中心園區'!E11+'石梯坪遊憩區'!E11+'磯崎海濱遊憩區(113年起停計)'!E11+'花蓮海洋公園'!E11+'花蓮遊客中心園區'!E11+'豐濱鄉親不知子海上古道及周邊地區'!E11</f>
        <v>24072</v>
      </c>
      <c r="F11" s="83">
        <f>'綠島遊憩區'!F11+'東部海岸富岡地質公園及加路蘭休憩區'!F11+'水往上流遊憩區(113年起停計)'!F11+'都歷處本部'!F11+'三仙台遊憩區及周邊地區'!F11+'八仙洞遊憩區'!F11+'秀姑巒溪遊客中心園區'!F11+'石梯坪遊憩區'!F11+'磯崎海濱遊憩區(113年起停計)'!F11+'花蓮海洋公園'!F11+'花蓮遊客中心園區'!F11+'豐濱鄉親不知子海上古道及周邊地區'!F11</f>
        <v>19422</v>
      </c>
      <c r="G11" s="83">
        <f>'綠島遊憩區'!G11+'東部海岸富岡地質公園及加路蘭休憩區'!G11+'水往上流遊憩區(113年起停計)'!G11+'都歷處本部'!G11+'三仙台遊憩區及周邊地區'!G11+'八仙洞遊憩區'!G11+'秀姑巒溪遊客中心園區'!G11+'石梯坪遊憩區'!G11+'磯崎海濱遊憩區(113年起停計)'!G11+'花蓮海洋公園'!G11+'花蓮遊客中心園區'!G11+'豐濱鄉親不知子海上古道及周邊地區'!G11</f>
        <v>19485</v>
      </c>
      <c r="H11" s="83">
        <f>'綠島遊憩區'!H11+'東部海岸富岡地質公園及加路蘭休憩區'!H11+'水往上流遊憩區(113年起停計)'!H11+'都歷處本部'!H11+'三仙台遊憩區及周邊地區'!H11+'八仙洞遊憩區'!H11+'秀姑巒溪遊客中心園區'!H11+'石梯坪遊憩區'!H11+'磯崎海濱遊憩區(113年起停計)'!H11+'花蓮海洋公園'!H11+'花蓮遊客中心園區'!H11+'豐濱鄉親不知子海上古道及周邊地區'!H11</f>
        <v>14201</v>
      </c>
      <c r="I11" s="83">
        <f>'綠島遊憩區'!I11+'東部海岸富岡地質公園及加路蘭休憩區'!I11+'水往上流遊憩區(113年起停計)'!I11+'都歷處本部'!I11+'三仙台遊憩區及周邊地區'!I11+'八仙洞遊憩區'!I11+'秀姑巒溪遊客中心園區'!I11+'石梯坪遊憩區'!I11+'磯崎海濱遊憩區(113年起停計)'!I11+'花蓮海洋公園'!I11+'花蓮遊客中心園區'!I11+'豐濱鄉親不知子海上古道及周邊地區'!I11</f>
        <v>21955</v>
      </c>
      <c r="J11" s="83">
        <f>'綠島遊憩區'!J11+'東部海岸富岡地質公園及加路蘭休憩區'!J11+'水往上流遊憩區(113年起停計)'!J11+'都歷處本部'!J11+'三仙台遊憩區及周邊地區'!J11+'八仙洞遊憩區'!J11+'秀姑巒溪遊客中心園區'!J11+'石梯坪遊憩區'!J11+'磯崎海濱遊憩區(113年起停計)'!J11+'花蓮海洋公園'!J11+'花蓮遊客中心園區'!J11+'豐濱鄉親不知子海上古道及周邊地區'!J11</f>
        <v>23866</v>
      </c>
      <c r="K11" s="83">
        <f>'綠島遊憩區'!K11+'東部海岸富岡地質公園及加路蘭休憩區'!K11+'水往上流遊憩區(113年起停計)'!K11+'都歷處本部'!K11+'三仙台遊憩區及周邊地區'!K11+'八仙洞遊憩區'!K11+'秀姑巒溪遊客中心園區'!K11+'石梯坪遊憩區'!K11+'磯崎海濱遊憩區(113年起停計)'!K11+'花蓮海洋公園'!K11+'花蓮遊客中心園區'!K11+'豐濱鄉親不知子海上古道及周邊地區'!K11</f>
        <v>81653</v>
      </c>
      <c r="L11" s="83">
        <f>'綠島遊憩區'!L11+'東部海岸富岡地質公園及加路蘭休憩區'!L11+'水往上流遊憩區(113年起停計)'!L11+'都歷處本部'!L11+'三仙台遊憩區及周邊地區'!L11+'八仙洞遊憩區'!L11+'秀姑巒溪遊客中心園區'!L11+'石梯坪遊憩區'!L11+'磯崎海濱遊憩區(113年起停計)'!L11+'花蓮海洋公園'!L11+'花蓮遊客中心園區'!L11+'豐濱鄉親不知子海上古道及周邊地區'!L11</f>
        <v>81754</v>
      </c>
      <c r="M11" s="83">
        <f>'綠島遊憩區'!M11+'東部海岸富岡地質公園及加路蘭休憩區'!M11+'水往上流遊憩區(113年起停計)'!M11+'都歷處本部'!M11+'三仙台遊憩區及周邊地區'!M11+'八仙洞遊憩區'!M11+'秀姑巒溪遊客中心園區'!M11+'石梯坪遊憩區'!M11+'磯崎海濱遊憩區(113年起停計)'!M11+'花蓮海洋公園'!M11+'花蓮遊客中心園區'!M11+'豐濱鄉親不知子海上古道及周邊地區'!M11</f>
        <v>349058</v>
      </c>
      <c r="N11" s="83">
        <f>'綠島遊憩區'!N11+'東部海岸富岡地質公園及加路蘭休憩區'!N11+'水往上流遊憩區(113年起停計)'!N11+'都歷處本部'!N11+'三仙台遊憩區及周邊地區'!N11+'八仙洞遊憩區'!N11+'秀姑巒溪遊客中心園區'!N11+'石梯坪遊憩區'!N11+'磯崎海濱遊憩區(113年起停計)'!N11+'花蓮海洋公園'!N11+'花蓮遊客中心園區'!N11+'豐濱鄉親不知子海上古道及周邊地區'!N11</f>
        <v>273351</v>
      </c>
      <c r="O11" s="83">
        <f>'綠島遊憩區'!O11+'東部海岸富岡地質公園及加路蘭休憩區'!O11+'水往上流遊憩區(113年起停計)'!O11+'都歷處本部'!O11+'三仙台遊憩區及周邊地區'!O11+'八仙洞遊憩區'!O11+'秀姑巒溪遊客中心園區'!O11+'石梯坪遊憩區'!O11+'磯崎海濱遊憩區(113年起停計)'!O11+'花蓮海洋公園'!O11+'花蓮遊客中心園區'!O11+'豐濱鄉親不知子海上古道及周邊地區'!O11</f>
        <v>308421</v>
      </c>
      <c r="P11" s="83">
        <f>'綠島遊憩區'!P11+'東部海岸富岡地質公園及加路蘭休憩區'!P11+'水往上流遊憩區(113年起停計)'!P11+'都歷處本部'!P11+'三仙台遊憩區及周邊地區'!P11+'八仙洞遊憩區'!P11+'秀姑巒溪遊客中心園區'!P11+'石梯坪遊憩區'!P11+'磯崎海濱遊憩區(113年起停計)'!P11+'花蓮海洋公園'!P11+'花蓮遊客中心園區'!P11+'豐濱鄉親不知子海上古道及周邊地區'!P11</f>
        <v>474898</v>
      </c>
      <c r="Q11" s="83">
        <f>'綠島遊憩區'!Q11+'東部海岸富岡地質公園及加路蘭休憩區'!Q11+'水往上流遊憩區(113年起停計)'!Q11+'都歷處本部'!Q11+'三仙台遊憩區及周邊地區'!Q11+'八仙洞遊憩區'!Q11+'秀姑巒溪遊客中心園區'!Q11+'石梯坪遊憩區'!Q11+'磯崎海濱遊憩區(113年起停計)'!Q11+'花蓮海洋公園'!Q11+'花蓮遊客中心園區'!Q11+'豐濱鄉親不知子海上古道及周邊地區'!Q11</f>
        <v>433737</v>
      </c>
      <c r="R11" s="83">
        <f>'綠島遊憩區'!R11+'東部海岸富岡地質公園及加路蘭休憩區'!R11+'水往上流遊憩區(113年起停計)'!R11+'都歷處本部'!R11+'三仙台遊憩區及周邊地區'!R11+'八仙洞遊憩區'!R11+'秀姑巒溪遊客中心園區'!R11+'石梯坪遊憩區'!R11+'磯崎海濱遊憩區(113年起停計)'!R11+'花蓮海洋公園'!R11+'花蓮遊客中心園區'!R11+'豐濱鄉親不知子海上古道及周邊地區'!R11</f>
        <v>435569</v>
      </c>
      <c r="S11" s="83">
        <f>'綠島遊憩區'!S11+'東部海岸富岡地質公園及加路蘭休憩區'!S11+'水往上流遊憩區(113年起停計)'!S11+'都歷處本部'!S11+'三仙台遊憩區及周邊地區'!S11+'八仙洞遊憩區'!S11+'秀姑巒溪遊客中心園區'!S11+'石梯坪遊憩區'!S11+'磯崎海濱遊憩區(113年起停計)'!S11+'花蓮海洋公園'!S11+'花蓮遊客中心園區'!S11+'豐濱鄉親不知子海上古道及周邊地區'!S11</f>
        <v>361496</v>
      </c>
      <c r="T11" s="83">
        <f>'綠島遊憩區'!T11+'東部海岸富岡地質公園及加路蘭休憩區'!T11+'水往上流遊憩區(113年起停計)'!T11+'都歷處本部'!T11+'三仙台遊憩區及周邊地區'!T11+'八仙洞遊憩區'!T11+'秀姑巒溪遊客中心園區'!T11+'石梯坪遊憩區'!T11+'磯崎海濱遊憩區(113年起停計)'!T11+'花蓮海洋公園'!T11+'花蓮遊客中心園區'!T11+'豐濱鄉親不知子海上古道及周邊地區'!T11</f>
        <v>381744</v>
      </c>
      <c r="U11" s="83">
        <f>'綠島遊憩區'!U11+'東部海岸富岡地質公園及加路蘭休憩區'!U11+'水往上流遊憩區(113年起停計)'!U11+'都歷處本部'!U11+'三仙台遊憩區及周邊地區'!U11+'八仙洞遊憩區'!U11+'秀姑巒溪遊客中心園區'!U11+'石梯坪遊憩區'!U11+'磯崎海濱遊憩區(113年起停計)'!U11+'花蓮海洋公園'!U11+'花蓮遊客中心園區'!U11+'豐濱鄉親不知子海上古道及周邊地區'!U11</f>
        <v>337629</v>
      </c>
      <c r="V11" s="83">
        <f>'綠島遊憩區'!V11+'東部海岸富岡地質公園及加路蘭休憩區'!V11+'水往上流遊憩區(113年起停計)'!V11+'都歷處本部'!V11+'三仙台遊憩區及周邊地區'!V11+'八仙洞遊憩區'!V11+'秀姑巒溪遊客中心園區'!V11+'石梯坪遊憩區'!V11+'磯崎海濱遊憩區(113年起停計)'!V11+'花蓮海洋公園'!V11+'花蓮遊客中心園區'!V11+'豐濱鄉親不知子海上古道及周邊地區'!V11</f>
        <v>342088</v>
      </c>
      <c r="W11" s="83">
        <f>'綠島遊憩區'!W11+'東部海岸富岡地質公園及加路蘭休憩區'!W11+'水往上流遊憩區(113年起停計)'!W11+'都歷處本部'!W11+'三仙台遊憩區及周邊地區'!W11+'八仙洞遊憩區'!W11+'秀姑巒溪遊客中心園區'!W11+'石梯坪遊憩區'!W11+'磯崎海濱遊憩區(113年起停計)'!W11+'花蓮海洋公園'!W11+'花蓮遊客中心園區'!W11+'豐濱鄉親不知子海上古道及周邊地區'!W11</f>
        <v>392882</v>
      </c>
      <c r="X11" s="83">
        <f>'綠島遊憩區'!X11+'東部海岸富岡地質公園及加路蘭休憩區'!X11+'水往上流遊憩區(113年起停計)'!X11+'都歷處本部'!X11+'三仙台遊憩區及周邊地區'!X11+'八仙洞遊憩區'!X11+'秀姑巒溪遊客中心園區'!X11+'石梯坪遊憩區'!X11+'磯崎海濱遊憩區(113年起停計)'!X11+'花蓮海洋公園'!X11+'花蓮遊客中心園區'!X11+'豐濱鄉親不知子海上古道及周邊地區'!X11</f>
        <v>383455</v>
      </c>
      <c r="Y11" s="83">
        <f>'綠島遊憩區'!Y11+'東部海岸富岡地質公園及加路蘭休憩區'!Y11+'水往上流遊憩區(113年起停計)'!Y11+'都歷處本部'!Y11+'三仙台遊憩區及周邊地區'!Y11+'八仙洞遊憩區'!Y11+'秀姑巒溪遊客中心園區'!Y11+'石梯坪遊憩區'!Y11+'磯崎海濱遊憩區(113年起停計)'!Y11+'花蓮海洋公園'!Y11+'花蓮遊客中心園區'!Y11+'豐濱鄉親不知子海上古道及周邊地區'!Y11</f>
        <v>426194</v>
      </c>
      <c r="Z11" s="83">
        <f>'綠島遊憩區'!Z11+'東部海岸富岡地質公園及加路蘭休憩區'!Z11+'水往上流遊憩區(113年起停計)'!Z11+'都歷處本部'!Z11+'三仙台遊憩區及周邊地區'!Z11+'八仙洞遊憩區'!Z11+'秀姑巒溪遊客中心園區'!Z11+'石梯坪遊憩區'!Z11+'磯崎海濱遊憩區(113年起停計)'!Z11+'花蓮海洋公園'!Z11+'花蓮遊客中心園區'!Z11+'豐濱鄉親不知子海上古道及周邊地區'!Z11</f>
        <v>433882</v>
      </c>
      <c r="AA11" s="83">
        <f>'綠島遊憩區'!AA11+'東部海岸富岡地質公園及加路蘭休憩區'!AA11+'水往上流遊憩區(113年起停計)'!AA11+'都歷處本部'!AA11+'三仙台遊憩區及周邊地區'!AA11+'八仙洞遊憩區'!AA11+'秀姑巒溪遊客中心園區'!AA11+'石梯坪遊憩區'!AA11+'磯崎海濱遊憩區(113年起停計)'!AA11+'花蓮海洋公園'!AA11+'花蓮遊客中心園區'!AA11+'豐濱鄉親不知子海上古道及周邊地區'!AA11</f>
        <v>603471</v>
      </c>
      <c r="AB11" s="83">
        <f>'綠島遊憩區'!AB11+'東部海岸富岡地質公園及加路蘭休憩區'!AB11+'水往上流遊憩區(113年起停計)'!AB11+'都歷處本部'!AB11+'三仙台遊憩區及周邊地區'!AB11+'八仙洞遊憩區'!AB11+'秀姑巒溪遊客中心園區'!AB11+'石梯坪遊憩區'!AB11+'磯崎海濱遊憩區(113年起停計)'!AB11+'花蓮海洋公園'!AB11+'花蓮遊客中心園區'!AB11+'豐濱鄉親不知子海上古道及周邊地區'!AB11</f>
        <v>398262</v>
      </c>
      <c r="AC11" s="83">
        <f>'綠島遊憩區'!AC11+'東部海岸富岡地質公園及加路蘭休憩區'!AC11+'水往上流遊憩區(113年起停計)'!AC11+'都歷處本部'!AC11+'三仙台遊憩區及周邊地區'!AC11+'八仙洞遊憩區'!AC11+'秀姑巒溪遊客中心園區'!AC11+'石梯坪遊憩區'!AC11+'磯崎海濱遊憩區(113年起停計)'!AC11+'花蓮海洋公園'!AC11+'花蓮遊客中心園區'!AC11+'豐濱鄉親不知子海上古道及周邊地區'!AC11</f>
        <v>422522</v>
      </c>
      <c r="AD11" s="83">
        <f>'綠島遊憩區'!AD11+'東部海岸富岡地質公園及加路蘭休憩區'!AD11+'水往上流遊憩區(113年起停計)'!AD11+'都歷處本部'!AD11+'三仙台遊憩區及周邊地區'!AD11+'八仙洞遊憩區'!AD11+'秀姑巒溪遊客中心園區'!AD11+'石梯坪遊憩區'!AD11+'磯崎海濱遊憩區(113年起停計)'!AD11+'花蓮海洋公園'!AD11+'花蓮遊客中心園區'!AD11+'豐濱鄉親不知子海上古道及周邊地區'!AD11</f>
        <v>338512</v>
      </c>
      <c r="AE11" s="83">
        <f>'綠島遊憩區'!AE11+'東部海岸富岡地質公園及加路蘭休憩區'!AE11+'水往上流遊憩區(113年起停計)'!AE11+'都歷處本部'!AE11+'三仙台遊憩區及周邊地區'!AE11+'八仙洞遊憩區'!AE11+'秀姑巒溪遊客中心園區'!AE11+'石梯坪遊憩區'!AE11+'磯崎海濱遊憩區(113年起停計)'!AE11+'花蓮海洋公園'!AE11+'花蓮遊客中心園區'!AE11+'豐濱鄉親不知子海上古道及周邊地區'!AE11</f>
        <v>380576</v>
      </c>
      <c r="AF11" s="83">
        <f>'綠島遊憩區'!AF11+'東部海岸富岡地質公園及加路蘭休憩區'!AF11+'水往上流遊憩區(113年起停計)'!AF11+'都歷處本部'!AF11+'三仙台遊憩區及周邊地區'!AF11+'八仙洞遊憩區'!AF11+'秀姑巒溪遊客中心園區'!AF11+'石梯坪遊憩區'!AF11+'磯崎海濱遊憩區(113年起停計)'!AF11+'花蓮海洋公園'!AF11+'花蓮遊客中心園區'!AF11+'豐濱鄉親不知子海上古道及周邊地區'!AF11</f>
        <v>413925.33</v>
      </c>
      <c r="AG11" s="83">
        <f>'綠島遊憩區'!AG11+'東部海岸富岡地質公園及加路蘭休憩區'!AG11+'水往上流遊憩區(113年起停計)'!AG11+'都歷處本部'!AG11+'三仙台遊憩區及周邊地區'!AG11+'八仙洞遊憩區'!AG11+'秀姑巒溪遊客中心園區'!AG11+'石梯坪遊憩區'!AG11+'磯崎海濱遊憩區(113年起停計)'!AG11+'花蓮海洋公園'!AG11+'花蓮遊客中心園區'!AG11+'豐濱鄉親不知子海上古道及周邊地區'!AG11</f>
        <v>638308</v>
      </c>
      <c r="AH11" s="83">
        <f>'綠島遊憩區'!AH11+'東部海岸富岡地質公園及加路蘭休憩區'!AH11+'水往上流遊憩區(113年起停計)'!AH11+'都歷處本部'!AH11+'三仙台遊憩區及周邊地區'!AH11+'八仙洞遊憩區'!AH11+'秀姑巒溪遊客中心園區'!AH11+'石梯坪遊憩區'!AH11+'磯崎海濱遊憩區(113年起停計)'!AH11+'花蓮海洋公園'!AH11+'花蓮遊客中心園區'!AH11+'豐濱鄉親不知子海上古道及周邊地區'!AH11</f>
        <v>35604</v>
      </c>
      <c r="AI11" s="83">
        <f>'綠島遊憩區'!AI11+'東部海岸富岡地質公園及加路蘭休憩區'!AI11+'水往上流遊憩區(113年起停計)'!AI11+'都歷處本部'!AI11+'三仙台遊憩區及周邊地區'!AI11+'八仙洞遊憩區'!AI11+'秀姑巒溪遊客中心園區'!AI11+'石梯坪遊憩區'!AI11+'磯崎海濱遊憩區(113年起停計)'!AI11+'花蓮海洋公園'!AI11+'花蓮遊客中心園區'!AI11+'豐濱鄉親不知子海上古道及周邊地區'!AI11</f>
        <v>458958</v>
      </c>
      <c r="AJ11" s="83">
        <f>'綠島遊憩區'!AJ11+'東部海岸富岡地質公園及加路蘭休憩區'!AJ11+'水往上流遊憩區(113年起停計)'!AJ11+'都歷處本部'!AJ11+'三仙台遊憩區及周邊地區'!AJ11+'八仙洞遊憩區'!AJ11+'秀姑巒溪遊客中心園區'!AJ11+'石梯坪遊憩區'!AJ11+'磯崎海濱遊憩區(113年起停計)'!AJ11+'花蓮海洋公園'!AJ11+'花蓮遊客中心園區'!AJ11+'豐濱鄉親不知子海上古道及周邊地區'!AJ11</f>
        <v>360549</v>
      </c>
      <c r="AK11" s="83">
        <f>'綠島遊憩區'!AK11+'東部海岸富岡地質公園及加路蘭休憩區'!AK11+'都蘭遊憩區及周邊地區'!AK11+'都歷處本部'!AK11+'三仙台遊憩區及周邊地區'!AK11+'八仙洞遊憩區'!AK11+'秀姑巒溪遊客中心園區'!AK11+'石梯坪遊憩區'!AK11+'磯崎海濱遊憩區(113年起停計)'!AK11+'花蓮海洋公園'!AK11+'花蓮遊客中心園區'!AK11+'豐濱鄉親不知子海上古道及周邊地區'!AK11</f>
        <v>633881</v>
      </c>
      <c r="AL11" s="83">
        <f>'綠島遊憩區'!AL11+'東部海岸富岡地質公園及加路蘭休憩區'!AL11+'都蘭遊憩區及周邊地區'!AL11+'都歷處本部'!AL11+'三仙台遊憩區及周邊地區'!AL11+'八仙洞遊憩區'!AL11+'秀姑巒溪遊客中心園區'!AL11+'石梯坪遊憩區'!AL11+'磯崎海濱遊憩區(113年起停計)'!AL11+'花蓮海洋公園'!AL11+'花蓮遊客中心園區'!AL11+'豐濱鄉親不知子海上古道及周邊地區'!AL11</f>
        <v>613137</v>
      </c>
      <c r="AM11" s="83">
        <f>'綠島遊憩區'!AM11+'東部海岸富岡地質公園及加路蘭休憩區'!AM11+'都蘭遊憩區及周邊地區'!AM11+'都歷處本部'!AM11+'三仙台遊憩區及周邊地區'!AM11+'八仙洞遊憩區'!AM11+'秀姑巒溪遊客中心園區'!AM11+'石梯坪遊憩區'!AM11+'磯崎海濱遊憩區(113年起停計)'!AM11+'花蓮海洋公園'!AM11+'花蓮遊客中心園區'!AM11+'豐濱鄉親不知子海上古道及周邊地區'!AM11</f>
        <v>0</v>
      </c>
      <c r="AN11" s="83">
        <f>'綠島遊憩區'!AN11+'東部海岸富岡地質公園及加路蘭休憩區'!AN11+'都蘭遊憩區及周邊地區'!AN11+'都歷處本部'!AN11+'三仙台遊憩區及周邊地區'!AN11+'八仙洞遊憩區'!AN11+'秀姑巒溪遊客中心園區'!AN11+'石梯坪遊憩區'!AN11+'磯崎海濱遊憩區(113年起停計)'!AN11+'花蓮海洋公園'!AN11+'花蓮遊客中心園區'!AN11+'豐濱鄉親不知子海上古道及周邊地區'!AN11</f>
        <v>0</v>
      </c>
      <c r="AO11" s="83">
        <f>'綠島遊憩區'!AO11+'東部海岸富岡地質公園及加路蘭休憩區'!AO11+'都蘭遊憩區及周邊地區'!AO11+'都歷處本部'!AO11+'三仙台遊憩區及周邊地區'!AO11+'八仙洞遊憩區'!AO11+'秀姑巒溪遊客中心園區'!AO11+'石梯坪遊憩區'!AO11+'磯崎海濱遊憩區(113年起停計)'!AO11+'花蓮海洋公園'!AO11+'花蓮遊客中心園區'!AO11+'豐濱鄉親不知子海上古道及周邊地區'!AO11</f>
        <v>0</v>
      </c>
      <c r="AP11" s="83">
        <f>'綠島遊憩區'!AP11+'東部海岸富岡地質公園及加路蘭休憩區'!AP11+'都蘭遊憩區及周邊地區'!AP11+'都歷處本部'!AP11+'三仙台遊憩區及周邊地區'!AP11+'八仙洞遊憩區'!AP11+'秀姑巒溪遊客中心園區'!AP11+'石梯坪遊憩區'!AP11+'磯崎海濱遊憩區(113年起停計)'!AP11+'花蓮海洋公園'!AP11+'花蓮遊客中心園區'!AP11+'豐濱鄉親不知子海上古道及周邊地區'!AP11</f>
        <v>0</v>
      </c>
      <c r="AQ11" s="83">
        <f>'綠島遊憩區'!AQ11+'東部海岸富岡地質公園及加路蘭休憩區'!AQ11+'都蘭遊憩區及周邊地區'!AQ11+'都歷處本部'!AQ11+'三仙台遊憩區及周邊地區'!AQ11+'八仙洞遊憩區'!AQ11+'秀姑巒溪遊客中心園區'!AQ11+'石梯坪遊憩區'!AQ11+'磯崎海濱遊憩區(113年起停計)'!AQ11+'花蓮海洋公園'!AQ11+'花蓮遊客中心園區'!AQ11+'豐濱鄉親不知子海上古道及周邊地區'!AQ11</f>
        <v>0</v>
      </c>
      <c r="AR11" s="84">
        <f>'綠島遊憩區'!AR11+'東部海岸富岡地質公園及加路蘭休憩區'!AR11+'都蘭遊憩區及周邊地區'!AR11+'都歷處本部'!AR11+'三仙台遊憩區及周邊地區'!AR11+'八仙洞遊憩區'!AR11+'秀姑巒溪遊客中心園區'!AR11+'石梯坪遊憩區'!AR11+'磯崎海濱遊憩區(113年起停計)'!AR11+'花蓮海洋公園'!AR11+'花蓮遊客中心園區'!AR11+'豐濱鄉親不知子海上古道及周邊地區'!AR11</f>
        <v>0</v>
      </c>
    </row>
    <row r="12" ht="15.75" customHeight="1">
      <c r="A12" s="82" t="s">
        <v>88</v>
      </c>
      <c r="B12" s="83">
        <f>'綠島遊憩區'!B12+'東部海岸富岡地質公園及加路蘭休憩區'!B12+'水往上流遊憩區(113年起停計)'!B12+'都歷處本部'!B12+'三仙台遊憩區及周邊地區'!B12+'八仙洞遊憩區'!B12+'秀姑巒溪遊客中心園區'!B12+'石梯坪遊憩區'!B12+'磯崎海濱遊憩區(113年起停計)'!B12+'花蓮海洋公園'!B12+'花蓮遊客中心園區'!B12+'豐濱鄉親不知子海上古道及周邊地區'!B12</f>
        <v>15971</v>
      </c>
      <c r="C12" s="83">
        <f>'綠島遊憩區'!C12+'東部海岸富岡地質公園及加路蘭休憩區'!C12+'水往上流遊憩區(113年起停計)'!C12+'都歷處本部'!C12+'三仙台遊憩區及周邊地區'!C12+'八仙洞遊憩區'!C12+'秀姑巒溪遊客中心園區'!C12+'石梯坪遊憩區'!C12+'磯崎海濱遊憩區(113年起停計)'!C12+'花蓮海洋公園'!C12+'花蓮遊客中心園區'!C12+'豐濱鄉親不知子海上古道及周邊地區'!C12</f>
        <v>21669</v>
      </c>
      <c r="D12" s="83">
        <f>'綠島遊憩區'!D12+'東部海岸富岡地質公園及加路蘭休憩區'!D12+'水往上流遊憩區(113年起停計)'!D12+'都歷處本部'!D12+'三仙台遊憩區及周邊地區'!D12+'八仙洞遊憩區'!D12+'秀姑巒溪遊客中心園區'!D12+'石梯坪遊憩區'!D12+'磯崎海濱遊憩區(113年起停計)'!D12+'花蓮海洋公園'!D12+'花蓮遊客中心園區'!D12+'豐濱鄉親不知子海上古道及周邊地區'!D12</f>
        <v>13478</v>
      </c>
      <c r="E12" s="83">
        <f>'綠島遊憩區'!E12+'東部海岸富岡地質公園及加路蘭休憩區'!E12+'水往上流遊憩區(113年起停計)'!E12+'都歷處本部'!E12+'三仙台遊憩區及周邊地區'!E12+'八仙洞遊憩區'!E12+'秀姑巒溪遊客中心園區'!E12+'石梯坪遊憩區'!E12+'磯崎海濱遊憩區(113年起停計)'!E12+'花蓮海洋公園'!E12+'花蓮遊客中心園區'!E12+'豐濱鄉親不知子海上古道及周邊地區'!E12</f>
        <v>8108</v>
      </c>
      <c r="F12" s="83">
        <f>'綠島遊憩區'!F12+'東部海岸富岡地質公園及加路蘭休憩區'!F12+'水往上流遊憩區(113年起停計)'!F12+'都歷處本部'!F12+'三仙台遊憩區及周邊地區'!F12+'八仙洞遊憩區'!F12+'秀姑巒溪遊客中心園區'!F12+'石梯坪遊憩區'!F12+'磯崎海濱遊憩區(113年起停計)'!F12+'花蓮海洋公園'!F12+'花蓮遊客中心園區'!F12+'豐濱鄉親不知子海上古道及周邊地區'!F12</f>
        <v>17276</v>
      </c>
      <c r="G12" s="83">
        <f>'綠島遊憩區'!G12+'東部海岸富岡地質公園及加路蘭休憩區'!G12+'水往上流遊憩區(113年起停計)'!G12+'都歷處本部'!G12+'三仙台遊憩區及周邊地區'!G12+'八仙洞遊憩區'!G12+'秀姑巒溪遊客中心園區'!G12+'石梯坪遊憩區'!G12+'磯崎海濱遊憩區(113年起停計)'!G12+'花蓮海洋公園'!G12+'花蓮遊客中心園區'!G12+'豐濱鄉親不知子海上古道及周邊地區'!G12</f>
        <v>4225</v>
      </c>
      <c r="H12" s="83">
        <f>'綠島遊憩區'!H12+'東部海岸富岡地質公園及加路蘭休憩區'!H12+'水往上流遊憩區(113年起停計)'!H12+'都歷處本部'!H12+'三仙台遊憩區及周邊地區'!H12+'八仙洞遊憩區'!H12+'秀姑巒溪遊客中心園區'!H12+'石梯坪遊憩區'!H12+'磯崎海濱遊憩區(113年起停計)'!H12+'花蓮海洋公園'!H12+'花蓮遊客中心園區'!H12+'豐濱鄉親不知子海上古道及周邊地區'!H12</f>
        <v>6788</v>
      </c>
      <c r="I12" s="83">
        <f>'綠島遊憩區'!I12+'東部海岸富岡地質公園及加路蘭休憩區'!I12+'水往上流遊憩區(113年起停計)'!I12+'都歷處本部'!I12+'三仙台遊憩區及周邊地區'!I12+'八仙洞遊憩區'!I12+'秀姑巒溪遊客中心園區'!I12+'石梯坪遊憩區'!I12+'磯崎海濱遊憩區(113年起停計)'!I12+'花蓮海洋公園'!I12+'花蓮遊客中心園區'!I12+'豐濱鄉親不知子海上古道及周邊地區'!I12</f>
        <v>8188</v>
      </c>
      <c r="J12" s="83">
        <f>'綠島遊憩區'!J12+'東部海岸富岡地質公園及加路蘭休憩區'!J12+'水往上流遊憩區(113年起停計)'!J12+'都歷處本部'!J12+'三仙台遊憩區及周邊地區'!J12+'八仙洞遊憩區'!J12+'秀姑巒溪遊客中心園區'!J12+'石梯坪遊憩區'!J12+'磯崎海濱遊憩區(113年起停計)'!J12+'花蓮海洋公園'!J12+'花蓮遊客中心園區'!J12+'豐濱鄉親不知子海上古道及周邊地區'!J12</f>
        <v>8812</v>
      </c>
      <c r="K12" s="83">
        <f>'綠島遊憩區'!K12+'東部海岸富岡地質公園及加路蘭休憩區'!K12+'水往上流遊憩區(113年起停計)'!K12+'都歷處本部'!K12+'三仙台遊憩區及周邊地區'!K12+'八仙洞遊憩區'!K12+'秀姑巒溪遊客中心園區'!K12+'石梯坪遊憩區'!K12+'磯崎海濱遊憩區(113年起停計)'!K12+'花蓮海洋公園'!K12+'花蓮遊客中心園區'!K12+'豐濱鄉親不知子海上古道及周邊地區'!K12</f>
        <v>74225</v>
      </c>
      <c r="L12" s="83">
        <f>'綠島遊憩區'!L12+'東部海岸富岡地質公園及加路蘭休憩區'!L12+'水往上流遊憩區(113年起停計)'!L12+'都歷處本部'!L12+'三仙台遊憩區及周邊地區'!L12+'八仙洞遊憩區'!L12+'秀姑巒溪遊客中心園區'!L12+'石梯坪遊憩區'!L12+'磯崎海濱遊憩區(113年起停計)'!L12+'花蓮海洋公園'!L12+'花蓮遊客中心園區'!L12+'豐濱鄉親不知子海上古道及周邊地區'!L12</f>
        <v>55262</v>
      </c>
      <c r="M12" s="83">
        <f>'綠島遊憩區'!M12+'東部海岸富岡地質公園及加路蘭休憩區'!M12+'水往上流遊憩區(113年起停計)'!M12+'都歷處本部'!M12+'三仙台遊憩區及周邊地區'!M12+'八仙洞遊憩區'!M12+'秀姑巒溪遊客中心園區'!M12+'石梯坪遊憩區'!M12+'磯崎海濱遊憩區(113年起停計)'!M12+'花蓮海洋公園'!M12+'花蓮遊客中心園區'!M12+'豐濱鄉親不知子海上古道及周邊地區'!M12</f>
        <v>215292</v>
      </c>
      <c r="N12" s="83">
        <f>'綠島遊憩區'!N12+'東部海岸富岡地質公園及加路蘭休憩區'!N12+'水往上流遊憩區(113年起停計)'!N12+'都歷處本部'!N12+'三仙台遊憩區及周邊地區'!N12+'八仙洞遊憩區'!N12+'秀姑巒溪遊客中心園區'!N12+'石梯坪遊憩區'!N12+'磯崎海濱遊憩區(113年起停計)'!N12+'花蓮海洋公園'!N12+'花蓮遊客中心園區'!N12+'豐濱鄉親不知子海上古道及周邊地區'!N12</f>
        <v>250242</v>
      </c>
      <c r="O12" s="83">
        <f>'綠島遊憩區'!O12+'東部海岸富岡地質公園及加路蘭休憩區'!O12+'水往上流遊憩區(113年起停計)'!O12+'都歷處本部'!O12+'三仙台遊憩區及周邊地區'!O12+'八仙洞遊憩區'!O12+'秀姑巒溪遊客中心園區'!O12+'石梯坪遊憩區'!O12+'磯崎海濱遊憩區(113年起停計)'!O12+'花蓮海洋公園'!O12+'花蓮遊客中心園區'!O12+'豐濱鄉親不知子海上古道及周邊地區'!O12</f>
        <v>234906</v>
      </c>
      <c r="P12" s="83">
        <f>'綠島遊憩區'!P12+'東部海岸富岡地質公園及加路蘭休憩區'!P12+'水往上流遊憩區(113年起停計)'!P12+'都歷處本部'!P12+'三仙台遊憩區及周邊地區'!P12+'八仙洞遊憩區'!P12+'秀姑巒溪遊客中心園區'!P12+'石梯坪遊憩區'!P12+'磯崎海濱遊憩區(113年起停計)'!P12+'花蓮海洋公園'!P12+'花蓮遊客中心園區'!P12+'豐濱鄉親不知子海上古道及周邊地區'!P12</f>
        <v>515242</v>
      </c>
      <c r="Q12" s="83">
        <f>'綠島遊憩區'!Q12+'東部海岸富岡地質公園及加路蘭休憩區'!Q12+'水往上流遊憩區(113年起停計)'!Q12+'都歷處本部'!Q12+'三仙台遊憩區及周邊地區'!Q12+'八仙洞遊憩區'!Q12+'秀姑巒溪遊客中心園區'!Q12+'石梯坪遊憩區'!Q12+'磯崎海濱遊憩區(113年起停計)'!Q12+'花蓮海洋公園'!Q12+'花蓮遊客中心園區'!Q12+'豐濱鄉親不知子海上古道及周邊地區'!Q12</f>
        <v>404037</v>
      </c>
      <c r="R12" s="83">
        <f>'綠島遊憩區'!R12+'東部海岸富岡地質公園及加路蘭休憩區'!R12+'水往上流遊憩區(113年起停計)'!R12+'都歷處本部'!R12+'三仙台遊憩區及周邊地區'!R12+'八仙洞遊憩區'!R12+'秀姑巒溪遊客中心園區'!R12+'石梯坪遊憩區'!R12+'磯崎海濱遊憩區(113年起停計)'!R12+'花蓮海洋公園'!R12+'花蓮遊客中心園區'!R12+'豐濱鄉親不知子海上古道及周邊地區'!R12</f>
        <v>327746</v>
      </c>
      <c r="S12" s="83">
        <f>'綠島遊憩區'!S12+'東部海岸富岡地質公園及加路蘭休憩區'!S12+'水往上流遊憩區(113年起停計)'!S12+'都歷處本部'!S12+'三仙台遊憩區及周邊地區'!S12+'八仙洞遊憩區'!S12+'秀姑巒溪遊客中心園區'!S12+'石梯坪遊憩區'!S12+'磯崎海濱遊憩區(113年起停計)'!S12+'花蓮海洋公園'!S12+'花蓮遊客中心園區'!S12+'豐濱鄉親不知子海上古道及周邊地區'!S12</f>
        <v>349236</v>
      </c>
      <c r="T12" s="83">
        <f>'綠島遊憩區'!T12+'東部海岸富岡地質公園及加路蘭休憩區'!T12+'水往上流遊憩區(113年起停計)'!T12+'都歷處本部'!T12+'三仙台遊憩區及周邊地區'!T12+'八仙洞遊憩區'!T12+'秀姑巒溪遊客中心園區'!T12+'石梯坪遊憩區'!T12+'磯崎海濱遊憩區(113年起停計)'!T12+'花蓮海洋公園'!T12+'花蓮遊客中心園區'!T12+'豐濱鄉親不知子海上古道及周邊地區'!T12</f>
        <v>224037</v>
      </c>
      <c r="U12" s="83">
        <f>'綠島遊憩區'!U12+'東部海岸富岡地質公園及加路蘭休憩區'!U12+'水往上流遊憩區(113年起停計)'!U12+'都歷處本部'!U12+'三仙台遊憩區及周邊地區'!U12+'八仙洞遊憩區'!U12+'秀姑巒溪遊客中心園區'!U12+'石梯坪遊憩區'!U12+'磯崎海濱遊憩區(113年起停計)'!U12+'花蓮海洋公園'!U12+'花蓮遊客中心園區'!U12+'豐濱鄉親不知子海上古道及周邊地區'!U12</f>
        <v>286844</v>
      </c>
      <c r="V12" s="83">
        <f>'綠島遊憩區'!V12+'東部海岸富岡地質公園及加路蘭休憩區'!V12+'水往上流遊憩區(113年起停計)'!V12+'都歷處本部'!V12+'三仙台遊憩區及周邊地區'!V12+'八仙洞遊憩區'!V12+'秀姑巒溪遊客中心園區'!V12+'石梯坪遊憩區'!V12+'磯崎海濱遊憩區(113年起停計)'!V12+'花蓮海洋公園'!V12+'花蓮遊客中心園區'!V12+'豐濱鄉親不知子海上古道及周邊地區'!V12</f>
        <v>176652</v>
      </c>
      <c r="W12" s="83">
        <f>'綠島遊憩區'!W12+'東部海岸富岡地質公園及加路蘭休憩區'!W12+'水往上流遊憩區(113年起停計)'!W12+'都歷處本部'!W12+'三仙台遊憩區及周邊地區'!W12+'八仙洞遊憩區'!W12+'秀姑巒溪遊客中心園區'!W12+'石梯坪遊憩區'!W12+'磯崎海濱遊憩區(113年起停計)'!W12+'花蓮海洋公園'!W12+'花蓮遊客中心園區'!W12+'豐濱鄉親不知子海上古道及周邊地區'!W12</f>
        <v>353642</v>
      </c>
      <c r="X12" s="83">
        <f>'綠島遊憩區'!X12+'東部海岸富岡地質公園及加路蘭休憩區'!X12+'水往上流遊憩區(113年起停計)'!X12+'都歷處本部'!X12+'三仙台遊憩區及周邊地區'!X12+'八仙洞遊憩區'!X12+'秀姑巒溪遊客中心園區'!X12+'石梯坪遊憩區'!X12+'磯崎海濱遊憩區(113年起停計)'!X12+'花蓮海洋公園'!X12+'花蓮遊客中心園區'!X12+'豐濱鄉親不知子海上古道及周邊地區'!X12</f>
        <v>301935</v>
      </c>
      <c r="Y12" s="83">
        <f>'綠島遊憩區'!Y12+'東部海岸富岡地質公園及加路蘭休憩區'!Y12+'水往上流遊憩區(113年起停計)'!Y12+'都歷處本部'!Y12+'三仙台遊憩區及周邊地區'!Y12+'八仙洞遊憩區'!Y12+'秀姑巒溪遊客中心園區'!Y12+'石梯坪遊憩區'!Y12+'磯崎海濱遊憩區(113年起停計)'!Y12+'花蓮海洋公園'!Y12+'花蓮遊客中心園區'!Y12+'豐濱鄉親不知子海上古道及周邊地區'!Y12</f>
        <v>283058</v>
      </c>
      <c r="Z12" s="83">
        <f>'綠島遊憩區'!Z12+'東部海岸富岡地質公園及加路蘭休憩區'!Z12+'水往上流遊憩區(113年起停計)'!Z12+'都歷處本部'!Z12+'三仙台遊憩區及周邊地區'!Z12+'八仙洞遊憩區'!Z12+'秀姑巒溪遊客中心園區'!Z12+'石梯坪遊憩區'!Z12+'磯崎海濱遊憩區(113年起停計)'!Z12+'花蓮海洋公園'!Z12+'花蓮遊客中心園區'!Z12+'豐濱鄉親不知子海上古道及周邊地區'!Z12</f>
        <v>454732</v>
      </c>
      <c r="AA12" s="83">
        <f>'綠島遊憩區'!AA12+'東部海岸富岡地質公園及加路蘭休憩區'!AA12+'水往上流遊憩區(113年起停計)'!AA12+'都歷處本部'!AA12+'三仙台遊憩區及周邊地區'!AA12+'八仙洞遊憩區'!AA12+'秀姑巒溪遊客中心園區'!AA12+'石梯坪遊憩區'!AA12+'磯崎海濱遊憩區(113年起停計)'!AA12+'花蓮海洋公園'!AA12+'花蓮遊客中心園區'!AA12+'豐濱鄉親不知子海上古道及周邊地區'!AA12</f>
        <v>591493</v>
      </c>
      <c r="AB12" s="83">
        <f>'綠島遊憩區'!AB12+'東部海岸富岡地質公園及加路蘭休憩區'!AB12+'水往上流遊憩區(113年起停計)'!AB12+'都歷處本部'!AB12+'三仙台遊憩區及周邊地區'!AB12+'八仙洞遊憩區'!AB12+'秀姑巒溪遊客中心園區'!AB12+'石梯坪遊憩區'!AB12+'磯崎海濱遊憩區(113年起停計)'!AB12+'花蓮海洋公園'!AB12+'花蓮遊客中心園區'!AB12+'豐濱鄉親不知子海上古道及周邊地區'!AB12</f>
        <v>315191</v>
      </c>
      <c r="AC12" s="83">
        <f>'綠島遊憩區'!AC12+'東部海岸富岡地質公園及加路蘭休憩區'!AC12+'水往上流遊憩區(113年起停計)'!AC12+'都歷處本部'!AC12+'三仙台遊憩區及周邊地區'!AC12+'八仙洞遊憩區'!AC12+'秀姑巒溪遊客中心園區'!AC12+'石梯坪遊憩區'!AC12+'磯崎海濱遊憩區(113年起停計)'!AC12+'花蓮海洋公園'!AC12+'花蓮遊客中心園區'!AC12+'豐濱鄉親不知子海上古道及周邊地區'!AC12</f>
        <v>367413</v>
      </c>
      <c r="AD12" s="83">
        <f>'綠島遊憩區'!AD12+'東部海岸富岡地質公園及加路蘭休憩區'!AD12+'水往上流遊憩區(113年起停計)'!AD12+'都歷處本部'!AD12+'三仙台遊憩區及周邊地區'!AD12+'八仙洞遊憩區'!AD12+'秀姑巒溪遊客中心園區'!AD12+'石梯坪遊憩區'!AD12+'磯崎海濱遊憩區(113年起停計)'!AD12+'花蓮海洋公園'!AD12+'花蓮遊客中心園區'!AD12+'豐濱鄉親不知子海上古道及周邊地區'!AD12</f>
        <v>371258</v>
      </c>
      <c r="AE12" s="83">
        <f>'綠島遊憩區'!AE12+'東部海岸富岡地質公園及加路蘭休憩區'!AE12+'水往上流遊憩區(113年起停計)'!AE12+'都歷處本部'!AE12+'三仙台遊憩區及周邊地區'!AE12+'八仙洞遊憩區'!AE12+'秀姑巒溪遊客中心園區'!AE12+'石梯坪遊憩區'!AE12+'磯崎海濱遊憩區(113年起停計)'!AE12+'花蓮海洋公園'!AE12+'花蓮遊客中心園區'!AE12+'豐濱鄉親不知子海上古道及周邊地區'!AE12</f>
        <v>361073</v>
      </c>
      <c r="AF12" s="83">
        <f>'綠島遊憩區'!AF12+'東部海岸富岡地質公園及加路蘭休憩區'!AF12+'水往上流遊憩區(113年起停計)'!AF12+'都歷處本部'!AF12+'三仙台遊憩區及周邊地區'!AF12+'八仙洞遊憩區'!AF12+'秀姑巒溪遊客中心園區'!AF12+'石梯坪遊憩區'!AF12+'磯崎海濱遊憩區(113年起停計)'!AF12+'花蓮海洋公園'!AF12+'花蓮遊客中心園區'!AF12+'豐濱鄉親不知子海上古道及周邊地區'!AF12</f>
        <v>320244</v>
      </c>
      <c r="AG12" s="83">
        <f>'綠島遊憩區'!AG12+'東部海岸富岡地質公園及加路蘭休憩區'!AG12+'水往上流遊憩區(113年起停計)'!AG12+'都歷處本部'!AG12+'三仙台遊憩區及周邊地區'!AG12+'八仙洞遊憩區'!AG12+'秀姑巒溪遊客中心園區'!AG12+'石梯坪遊憩區'!AG12+'磯崎海濱遊憩區(113年起停計)'!AG12+'花蓮海洋公園'!AG12+'花蓮遊客中心園區'!AG12+'豐濱鄉親不知子海上古道及周邊地區'!AG12</f>
        <v>786745</v>
      </c>
      <c r="AH12" s="83">
        <f>'綠島遊憩區'!AH12+'東部海岸富岡地質公園及加路蘭休憩區'!AH12+'水往上流遊憩區(113年起停計)'!AH12+'都歷處本部'!AH12+'三仙台遊憩區及周邊地區'!AH12+'八仙洞遊憩區'!AH12+'秀姑巒溪遊客中心園區'!AH12+'石梯坪遊憩區'!AH12+'磯崎海濱遊憩區(113年起停計)'!AH12+'花蓮海洋公園'!AH12+'花蓮遊客中心園區'!AH12+'豐濱鄉親不知子海上古道及周邊地區'!AH12</f>
        <v>158517</v>
      </c>
      <c r="AI12" s="83">
        <f>'綠島遊憩區'!AI12+'東部海岸富岡地質公園及加路蘭休憩區'!AI12+'水往上流遊憩區(113年起停計)'!AI12+'都歷處本部'!AI12+'三仙台遊憩區及周邊地區'!AI12+'八仙洞遊憩區'!AI12+'秀姑巒溪遊客中心園區'!AI12+'石梯坪遊憩區'!AI12+'磯崎海濱遊憩區(113年起停計)'!AI12+'花蓮海洋公園'!AI12+'花蓮遊客中心園區'!AI12+'豐濱鄉親不知子海上古道及周邊地區'!AI12</f>
        <v>480083</v>
      </c>
      <c r="AJ12" s="83">
        <f>'綠島遊憩區'!AJ12+'東部海岸富岡地質公園及加路蘭休憩區'!AJ12+'水往上流遊憩區(113年起停計)'!AJ12+'都歷處本部'!AJ12+'三仙台遊憩區及周邊地區'!AJ12+'八仙洞遊憩區'!AJ12+'秀姑巒溪遊客中心園區'!AJ12+'石梯坪遊憩區'!AJ12+'磯崎海濱遊憩區(113年起停計)'!AJ12+'花蓮海洋公園'!AJ12+'花蓮遊客中心園區'!AJ12+'豐濱鄉親不知子海上古道及周邊地區'!AJ12</f>
        <v>346188</v>
      </c>
      <c r="AK12" s="83">
        <f>'綠島遊憩區'!AK12+'東部海岸富岡地質公園及加路蘭休憩區'!AK12+'都蘭遊憩區及周邊地區'!AK12+'都歷處本部'!AK12+'三仙台遊憩區及周邊地區'!AK12+'八仙洞遊憩區'!AK12+'秀姑巒溪遊客中心園區'!AK12+'石梯坪遊憩區'!AK12+'磯崎海濱遊憩區(113年起停計)'!AK12+'花蓮海洋公園'!AK12+'花蓮遊客中心園區'!AK12+'豐濱鄉親不知子海上古道及周邊地區'!AK12</f>
        <v>701655</v>
      </c>
      <c r="AL12" s="83">
        <f>'綠島遊憩區'!AL12+'東部海岸富岡地質公園及加路蘭休憩區'!AL12+'都蘭遊憩區及周邊地區'!AL12+'都歷處本部'!AL12+'三仙台遊憩區及周邊地區'!AL12+'八仙洞遊憩區'!AL12+'秀姑巒溪遊客中心園區'!AL12+'石梯坪遊憩區'!AL12+'磯崎海濱遊憩區(113年起停計)'!AL12+'花蓮海洋公園'!AL12+'花蓮遊客中心園區'!AL12+'豐濱鄉親不知子海上古道及周邊地區'!AL12</f>
        <v>780331</v>
      </c>
      <c r="AM12" s="83">
        <f>'綠島遊憩區'!AM12+'東部海岸富岡地質公園及加路蘭休憩區'!AM12+'都蘭遊憩區及周邊地區'!AM12+'都歷處本部'!AM12+'三仙台遊憩區及周邊地區'!AM12+'八仙洞遊憩區'!AM12+'秀姑巒溪遊客中心園區'!AM12+'石梯坪遊憩區'!AM12+'磯崎海濱遊憩區(113年起停計)'!AM12+'花蓮海洋公園'!AM12+'花蓮遊客中心園區'!AM12+'豐濱鄉親不知子海上古道及周邊地區'!AM12</f>
        <v>0</v>
      </c>
      <c r="AN12" s="83">
        <f>'綠島遊憩區'!AN12+'東部海岸富岡地質公園及加路蘭休憩區'!AN12+'都蘭遊憩區及周邊地區'!AN12+'都歷處本部'!AN12+'三仙台遊憩區及周邊地區'!AN12+'八仙洞遊憩區'!AN12+'秀姑巒溪遊客中心園區'!AN12+'石梯坪遊憩區'!AN12+'磯崎海濱遊憩區(113年起停計)'!AN12+'花蓮海洋公園'!AN12+'花蓮遊客中心園區'!AN12+'豐濱鄉親不知子海上古道及周邊地區'!AN12</f>
        <v>0</v>
      </c>
      <c r="AO12" s="83">
        <f>'綠島遊憩區'!AO12+'東部海岸富岡地質公園及加路蘭休憩區'!AO12+'都蘭遊憩區及周邊地區'!AO12+'都歷處本部'!AO12+'三仙台遊憩區及周邊地區'!AO12+'八仙洞遊憩區'!AO12+'秀姑巒溪遊客中心園區'!AO12+'石梯坪遊憩區'!AO12+'磯崎海濱遊憩區(113年起停計)'!AO12+'花蓮海洋公園'!AO12+'花蓮遊客中心園區'!AO12+'豐濱鄉親不知子海上古道及周邊地區'!AO12</f>
        <v>0</v>
      </c>
      <c r="AP12" s="83">
        <f>'綠島遊憩區'!AP12+'東部海岸富岡地質公園及加路蘭休憩區'!AP12+'都蘭遊憩區及周邊地區'!AP12+'都歷處本部'!AP12+'三仙台遊憩區及周邊地區'!AP12+'八仙洞遊憩區'!AP12+'秀姑巒溪遊客中心園區'!AP12+'石梯坪遊憩區'!AP12+'磯崎海濱遊憩區(113年起停計)'!AP12+'花蓮海洋公園'!AP12+'花蓮遊客中心園區'!AP12+'豐濱鄉親不知子海上古道及周邊地區'!AP12</f>
        <v>0</v>
      </c>
      <c r="AQ12" s="83">
        <f>'綠島遊憩區'!AQ12+'東部海岸富岡地質公園及加路蘭休憩區'!AQ12+'都蘭遊憩區及周邊地區'!AQ12+'都歷處本部'!AQ12+'三仙台遊憩區及周邊地區'!AQ12+'八仙洞遊憩區'!AQ12+'秀姑巒溪遊客中心園區'!AQ12+'石梯坪遊憩區'!AQ12+'磯崎海濱遊憩區(113年起停計)'!AQ12+'花蓮海洋公園'!AQ12+'花蓮遊客中心園區'!AQ12+'豐濱鄉親不知子海上古道及周邊地區'!AQ12</f>
        <v>0</v>
      </c>
      <c r="AR12" s="84">
        <f>'綠島遊憩區'!AR12+'東部海岸富岡地質公園及加路蘭休憩區'!AR12+'都蘭遊憩區及周邊地區'!AR12+'都歷處本部'!AR12+'三仙台遊憩區及周邊地區'!AR12+'八仙洞遊憩區'!AR12+'秀姑巒溪遊客中心園區'!AR12+'石梯坪遊憩區'!AR12+'磯崎海濱遊憩區(113年起停計)'!AR12+'花蓮海洋公園'!AR12+'花蓮遊客中心園區'!AR12+'豐濱鄉親不知子海上古道及周邊地區'!AR12</f>
        <v>0</v>
      </c>
    </row>
    <row r="13" ht="15.75" customHeight="1">
      <c r="A13" s="82" t="s">
        <v>89</v>
      </c>
      <c r="B13" s="83">
        <f>'綠島遊憩區'!B13+'東部海岸富岡地質公園及加路蘭休憩區'!B13+'水往上流遊憩區(113年起停計)'!B13+'都歷處本部'!B13+'三仙台遊憩區及周邊地區'!B13+'八仙洞遊憩區'!B13+'秀姑巒溪遊客中心園區'!B13+'石梯坪遊憩區'!B13+'磯崎海濱遊憩區(113年起停計)'!B13+'花蓮海洋公園'!B13+'花蓮遊客中心園區'!B13+'豐濱鄉親不知子海上古道及周邊地區'!B13</f>
        <v>12158</v>
      </c>
      <c r="C13" s="83">
        <f>'綠島遊憩區'!C13+'東部海岸富岡地質公園及加路蘭休憩區'!C13+'水往上流遊憩區(113年起停計)'!C13+'都歷處本部'!C13+'三仙台遊憩區及周邊地區'!C13+'八仙洞遊憩區'!C13+'秀姑巒溪遊客中心園區'!C13+'石梯坪遊憩區'!C13+'磯崎海濱遊憩區(113年起停計)'!C13+'花蓮海洋公園'!C13+'花蓮遊客中心園區'!C13+'豐濱鄉親不知子海上古道及周邊地區'!C13</f>
        <v>3461</v>
      </c>
      <c r="D13" s="83">
        <f>'綠島遊憩區'!D13+'東部海岸富岡地質公園及加路蘭休憩區'!D13+'水往上流遊憩區(113年起停計)'!D13+'都歷處本部'!D13+'三仙台遊憩區及周邊地區'!D13+'八仙洞遊憩區'!D13+'秀姑巒溪遊客中心園區'!D13+'石梯坪遊憩區'!D13+'磯崎海濱遊憩區(113年起停計)'!D13+'花蓮海洋公園'!D13+'花蓮遊客中心園區'!D13+'豐濱鄉親不知子海上古道及周邊地區'!D13</f>
        <v>8033</v>
      </c>
      <c r="E13" s="83">
        <f>'綠島遊憩區'!E13+'東部海岸富岡地質公園及加路蘭休憩區'!E13+'水往上流遊憩區(113年起停計)'!E13+'都歷處本部'!E13+'三仙台遊憩區及周邊地區'!E13+'八仙洞遊憩區'!E13+'秀姑巒溪遊客中心園區'!E13+'石梯坪遊憩區'!E13+'磯崎海濱遊憩區(113年起停計)'!E13+'花蓮海洋公園'!E13+'花蓮遊客中心園區'!E13+'豐濱鄉親不知子海上古道及周邊地區'!E13</f>
        <v>7613</v>
      </c>
      <c r="F13" s="83">
        <f>'綠島遊憩區'!F13+'東部海岸富岡地質公園及加路蘭休憩區'!F13+'水往上流遊憩區(113年起停計)'!F13+'都歷處本部'!F13+'三仙台遊憩區及周邊地區'!F13+'八仙洞遊憩區'!F13+'秀姑巒溪遊客中心園區'!F13+'石梯坪遊憩區'!F13+'磯崎海濱遊憩區(113年起停計)'!F13+'花蓮海洋公園'!F13+'花蓮遊客中心園區'!F13+'豐濱鄉親不知子海上古道及周邊地區'!F13</f>
        <v>4456</v>
      </c>
      <c r="G13" s="83">
        <f>'綠島遊憩區'!G13+'東部海岸富岡地質公園及加路蘭休憩區'!G13+'水往上流遊憩區(113年起停計)'!G13+'都歷處本部'!G13+'三仙台遊憩區及周邊地區'!G13+'八仙洞遊憩區'!G13+'秀姑巒溪遊客中心園區'!G13+'石梯坪遊憩區'!G13+'磯崎海濱遊憩區(113年起停計)'!G13+'花蓮海洋公園'!G13+'花蓮遊客中心園區'!G13+'豐濱鄉親不知子海上古道及周邊地區'!G13</f>
        <v>6512</v>
      </c>
      <c r="H13" s="83">
        <f>'綠島遊憩區'!H13+'東部海岸富岡地質公園及加路蘭休憩區'!H13+'水往上流遊憩區(113年起停計)'!H13+'都歷處本部'!H13+'三仙台遊憩區及周邊地區'!H13+'八仙洞遊憩區'!H13+'秀姑巒溪遊客中心園區'!H13+'石梯坪遊憩區'!H13+'磯崎海濱遊憩區(113年起停計)'!H13+'花蓮海洋公園'!H13+'花蓮遊客中心園區'!H13+'豐濱鄉親不知子海上古道及周邊地區'!H13</f>
        <v>7388</v>
      </c>
      <c r="I13" s="83">
        <f>'綠島遊憩區'!I13+'東部海岸富岡地質公園及加路蘭休憩區'!I13+'水往上流遊憩區(113年起停計)'!I13+'都歷處本部'!I13+'三仙台遊憩區及周邊地區'!I13+'八仙洞遊憩區'!I13+'秀姑巒溪遊客中心園區'!I13+'石梯坪遊憩區'!I13+'磯崎海濱遊憩區(113年起停計)'!I13+'花蓮海洋公園'!I13+'花蓮遊客中心園區'!I13+'豐濱鄉親不知子海上古道及周邊地區'!I13</f>
        <v>9102</v>
      </c>
      <c r="J13" s="83">
        <f>'綠島遊憩區'!J13+'東部海岸富岡地質公園及加路蘭休憩區'!J13+'水往上流遊憩區(113年起停計)'!J13+'都歷處本部'!J13+'三仙台遊憩區及周邊地區'!J13+'八仙洞遊憩區'!J13+'秀姑巒溪遊客中心園區'!J13+'石梯坪遊憩區'!J13+'磯崎海濱遊憩區(113年起停計)'!J13+'花蓮海洋公園'!J13+'花蓮遊客中心園區'!J13+'豐濱鄉親不知子海上古道及周邊地區'!J13</f>
        <v>15457</v>
      </c>
      <c r="K13" s="83">
        <f>'綠島遊憩區'!K13+'東部海岸富岡地質公園及加路蘭休憩區'!K13+'水往上流遊憩區(113年起停計)'!K13+'都歷處本部'!K13+'三仙台遊憩區及周邊地區'!K13+'八仙洞遊憩區'!K13+'秀姑巒溪遊客中心園區'!K13+'石梯坪遊憩區'!K13+'磯崎海濱遊憩區(113年起停計)'!K13+'花蓮海洋公園'!K13+'花蓮遊客中心園區'!K13+'豐濱鄉親不知子海上古道及周邊地區'!K13</f>
        <v>28529</v>
      </c>
      <c r="L13" s="83">
        <f>'綠島遊憩區'!L13+'東部海岸富岡地質公園及加路蘭休憩區'!L13+'水往上流遊憩區(113年起停計)'!L13+'都歷處本部'!L13+'三仙台遊憩區及周邊地區'!L13+'八仙洞遊憩區'!L13+'秀姑巒溪遊客中心園區'!L13+'石梯坪遊憩區'!L13+'磯崎海濱遊憩區(113年起停計)'!L13+'花蓮海洋公園'!L13+'花蓮遊客中心園區'!L13+'豐濱鄉親不知子海上古道及周邊地區'!L13</f>
        <v>36566</v>
      </c>
      <c r="M13" s="83">
        <f>'綠島遊憩區'!M13+'東部海岸富岡地質公園及加路蘭休憩區'!M13+'水往上流遊憩區(113年起停計)'!M13+'都歷處本部'!M13+'三仙台遊憩區及周邊地區'!M13+'八仙洞遊憩區'!M13+'秀姑巒溪遊客中心園區'!M13+'石梯坪遊憩區'!M13+'磯崎海濱遊憩區(113年起停計)'!M13+'花蓮海洋公園'!M13+'花蓮遊客中心園區'!M13+'豐濱鄉親不知子海上古道及周邊地區'!M13</f>
        <v>196528</v>
      </c>
      <c r="N13" s="83">
        <f>'綠島遊憩區'!N13+'東部海岸富岡地質公園及加路蘭休憩區'!N13+'水往上流遊憩區(113年起停計)'!N13+'都歷處本部'!N13+'三仙台遊憩區及周邊地區'!N13+'八仙洞遊憩區'!N13+'秀姑巒溪遊客中心園區'!N13+'石梯坪遊憩區'!N13+'磯崎海濱遊憩區(113年起停計)'!N13+'花蓮海洋公園'!N13+'花蓮遊客中心園區'!N13+'豐濱鄉親不知子海上古道及周邊地區'!N13</f>
        <v>106996</v>
      </c>
      <c r="O13" s="83">
        <f>'綠島遊憩區'!O13+'東部海岸富岡地質公園及加路蘭休憩區'!O13+'水往上流遊憩區(113年起停計)'!O13+'都歷處本部'!O13+'三仙台遊憩區及周邊地區'!O13+'八仙洞遊憩區'!O13+'秀姑巒溪遊客中心園區'!O13+'石梯坪遊憩區'!O13+'磯崎海濱遊憩區(113年起停計)'!O13+'花蓮海洋公園'!O13+'花蓮遊客中心園區'!O13+'豐濱鄉親不知子海上古道及周邊地區'!O13</f>
        <v>158526</v>
      </c>
      <c r="P13" s="83">
        <f>'綠島遊憩區'!P13+'東部海岸富岡地質公園及加路蘭休憩區'!P13+'水往上流遊憩區(113年起停計)'!P13+'都歷處本部'!P13+'三仙台遊憩區及周邊地區'!P13+'八仙洞遊憩區'!P13+'秀姑巒溪遊客中心園區'!P13+'石梯坪遊憩區'!P13+'磯崎海濱遊憩區(113年起停計)'!P13+'花蓮海洋公園'!P13+'花蓮遊客中心園區'!P13+'豐濱鄉親不知子海上古道及周邊地區'!P13</f>
        <v>277445</v>
      </c>
      <c r="Q13" s="83">
        <f>'綠島遊憩區'!Q13+'東部海岸富岡地質公園及加路蘭休憩區'!Q13+'水往上流遊憩區(113年起停計)'!Q13+'都歷處本部'!Q13+'三仙台遊憩區及周邊地區'!Q13+'八仙洞遊憩區'!Q13+'秀姑巒溪遊客中心園區'!Q13+'石梯坪遊憩區'!Q13+'磯崎海濱遊憩區(113年起停計)'!Q13+'花蓮海洋公園'!Q13+'花蓮遊客中心園區'!Q13+'豐濱鄉親不知子海上古道及周邊地區'!Q13</f>
        <v>220647</v>
      </c>
      <c r="R13" s="83">
        <f>'綠島遊憩區'!R13+'東部海岸富岡地質公園及加路蘭休憩區'!R13+'水往上流遊憩區(113年起停計)'!R13+'都歷處本部'!R13+'三仙台遊憩區及周邊地區'!R13+'八仙洞遊憩區'!R13+'秀姑巒溪遊客中心園區'!R13+'石梯坪遊憩區'!R13+'磯崎海濱遊憩區(113年起停計)'!R13+'花蓮海洋公園'!R13+'花蓮遊客中心園區'!R13+'豐濱鄉親不知子海上古道及周邊地區'!R13</f>
        <v>212194</v>
      </c>
      <c r="S13" s="83">
        <f>'綠島遊憩區'!S13+'東部海岸富岡地質公園及加路蘭休憩區'!S13+'水往上流遊憩區(113年起停計)'!S13+'都歷處本部'!S13+'三仙台遊憩區及周邊地區'!S13+'八仙洞遊憩區'!S13+'秀姑巒溪遊客中心園區'!S13+'石梯坪遊憩區'!S13+'磯崎海濱遊憩區(113年起停計)'!S13+'花蓮海洋公園'!S13+'花蓮遊客中心園區'!S13+'豐濱鄉親不知子海上古道及周邊地區'!S13</f>
        <v>230298</v>
      </c>
      <c r="T13" s="83">
        <f>'綠島遊憩區'!T13+'東部海岸富岡地質公園及加路蘭休憩區'!T13+'水往上流遊憩區(113年起停計)'!T13+'都歷處本部'!T13+'三仙台遊憩區及周邊地區'!T13+'八仙洞遊憩區'!T13+'秀姑巒溪遊客中心園區'!T13+'石梯坪遊憩區'!T13+'磯崎海濱遊憩區(113年起停計)'!T13+'花蓮海洋公園'!T13+'花蓮遊客中心園區'!T13+'豐濱鄉親不知子海上古道及周邊地區'!T13</f>
        <v>209038</v>
      </c>
      <c r="U13" s="83">
        <f>'綠島遊憩區'!U13+'東部海岸富岡地質公園及加路蘭休憩區'!U13+'水往上流遊憩區(113年起停計)'!U13+'都歷處本部'!U13+'三仙台遊憩區及周邊地區'!U13+'八仙洞遊憩區'!U13+'秀姑巒溪遊客中心園區'!U13+'石梯坪遊憩區'!U13+'磯崎海濱遊憩區(113年起停計)'!U13+'花蓮海洋公園'!U13+'花蓮遊客中心園區'!U13+'豐濱鄉親不知子海上古道及周邊地區'!U13</f>
        <v>146581</v>
      </c>
      <c r="V13" s="83">
        <f>'綠島遊憩區'!V13+'東部海岸富岡地質公園及加路蘭休憩區'!V13+'水往上流遊憩區(113年起停計)'!V13+'都歷處本部'!V13+'三仙台遊憩區及周邊地區'!V13+'八仙洞遊憩區'!V13+'秀姑巒溪遊客中心園區'!V13+'石梯坪遊憩區'!V13+'磯崎海濱遊憩區(113年起停計)'!V13+'花蓮海洋公園'!V13+'花蓮遊客中心園區'!V13+'豐濱鄉親不知子海上古道及周邊地區'!V13</f>
        <v>127642</v>
      </c>
      <c r="W13" s="83">
        <f>'綠島遊憩區'!W13+'東部海岸富岡地質公園及加路蘭休憩區'!W13+'水往上流遊憩區(113年起停計)'!W13+'都歷處本部'!W13+'三仙台遊憩區及周邊地區'!W13+'八仙洞遊憩區'!W13+'秀姑巒溪遊客中心園區'!W13+'石梯坪遊憩區'!W13+'磯崎海濱遊憩區(113年起停計)'!W13+'花蓮海洋公園'!W13+'花蓮遊客中心園區'!W13+'豐濱鄉親不知子海上古道及周邊地區'!W13</f>
        <v>197671</v>
      </c>
      <c r="X13" s="83">
        <f>'綠島遊憩區'!X13+'東部海岸富岡地質公園及加路蘭休憩區'!X13+'水往上流遊憩區(113年起停計)'!X13+'都歷處本部'!X13+'三仙台遊憩區及周邊地區'!X13+'八仙洞遊憩區'!X13+'秀姑巒溪遊客中心園區'!X13+'石梯坪遊憩區'!X13+'磯崎海濱遊憩區(113年起停計)'!X13+'花蓮海洋公園'!X13+'花蓮遊客中心園區'!X13+'豐濱鄉親不知子海上古道及周邊地區'!X13</f>
        <v>260930</v>
      </c>
      <c r="Y13" s="83">
        <f>'綠島遊憩區'!Y13+'東部海岸富岡地質公園及加路蘭休憩區'!Y13+'水往上流遊憩區(113年起停計)'!Y13+'都歷處本部'!Y13+'三仙台遊憩區及周邊地區'!Y13+'八仙洞遊憩區'!Y13+'秀姑巒溪遊客中心園區'!Y13+'石梯坪遊憩區'!Y13+'磯崎海濱遊憩區(113年起停計)'!Y13+'花蓮海洋公園'!Y13+'花蓮遊客中心園區'!Y13+'豐濱鄉親不知子海上古道及周邊地區'!Y13</f>
        <v>230447</v>
      </c>
      <c r="Z13" s="83">
        <f>'綠島遊憩區'!Z13+'東部海岸富岡地質公園及加路蘭休憩區'!Z13+'水往上流遊憩區(113年起停計)'!Z13+'都歷處本部'!Z13+'三仙台遊憩區及周邊地區'!Z13+'八仙洞遊憩區'!Z13+'秀姑巒溪遊客中心園區'!Z13+'石梯坪遊憩區'!Z13+'磯崎海濱遊憩區(113年起停計)'!Z13+'花蓮海洋公園'!Z13+'花蓮遊客中心園區'!Z13+'豐濱鄉親不知子海上古道及周邊地區'!Z13</f>
        <v>322322</v>
      </c>
      <c r="AA13" s="83">
        <f>'綠島遊憩區'!AA13+'東部海岸富岡地質公園及加路蘭休憩區'!AA13+'水往上流遊憩區(113年起停計)'!AA13+'都歷處本部'!AA13+'三仙台遊憩區及周邊地區'!AA13+'八仙洞遊憩區'!AA13+'秀姑巒溪遊客中心園區'!AA13+'石梯坪遊憩區'!AA13+'磯崎海濱遊憩區(113年起停計)'!AA13+'花蓮海洋公園'!AA13+'花蓮遊客中心園區'!AA13+'豐濱鄉親不知子海上古道及周邊地區'!AA13</f>
        <v>460441</v>
      </c>
      <c r="AB13" s="83">
        <f>'綠島遊憩區'!AB13+'東部海岸富岡地質公園及加路蘭休憩區'!AB13+'水往上流遊憩區(113年起停計)'!AB13+'都歷處本部'!AB13+'三仙台遊憩區及周邊地區'!AB13+'八仙洞遊憩區'!AB13+'秀姑巒溪遊客中心園區'!AB13+'石梯坪遊憩區'!AB13+'磯崎海濱遊憩區(113年起停計)'!AB13+'花蓮海洋公園'!AB13+'花蓮遊客中心園區'!AB13+'豐濱鄉親不知子海上古道及周邊地區'!AB13</f>
        <v>244069</v>
      </c>
      <c r="AC13" s="83">
        <f>'綠島遊憩區'!AC13+'東部海岸富岡地質公園及加路蘭休憩區'!AC13+'水往上流遊憩區(113年起停計)'!AC13+'都歷處本部'!AC13+'三仙台遊憩區及周邊地區'!AC13+'八仙洞遊憩區'!AC13+'秀姑巒溪遊客中心園區'!AC13+'石梯坪遊憩區'!AC13+'磯崎海濱遊憩區(113年起停計)'!AC13+'花蓮海洋公園'!AC13+'花蓮遊客中心園區'!AC13+'豐濱鄉親不知子海上古道及周邊地區'!AC13</f>
        <v>200952</v>
      </c>
      <c r="AD13" s="83">
        <f>'綠島遊憩區'!AD13+'東部海岸富岡地質公園及加路蘭休憩區'!AD13+'水往上流遊憩區(113年起停計)'!AD13+'都歷處本部'!AD13+'三仙台遊憩區及周邊地區'!AD13+'八仙洞遊憩區'!AD13+'秀姑巒溪遊客中心園區'!AD13+'石梯坪遊憩區'!AD13+'磯崎海濱遊憩區(113年起停計)'!AD13+'花蓮海洋公園'!AD13+'花蓮遊客中心園區'!AD13+'豐濱鄉親不知子海上古道及周邊地區'!AD13</f>
        <v>184710</v>
      </c>
      <c r="AE13" s="83">
        <f>'綠島遊憩區'!AE13+'東部海岸富岡地質公園及加路蘭休憩區'!AE13+'水往上流遊憩區(113年起停計)'!AE13+'都歷處本部'!AE13+'三仙台遊憩區及周邊地區'!AE13+'八仙洞遊憩區'!AE13+'秀姑巒溪遊客中心園區'!AE13+'石梯坪遊憩區'!AE13+'磯崎海濱遊憩區(113年起停計)'!AE13+'花蓮海洋公園'!AE13+'花蓮遊客中心園區'!AE13+'豐濱鄉親不知子海上古道及周邊地區'!AE13</f>
        <v>203363</v>
      </c>
      <c r="AF13" s="83">
        <f>'綠島遊憩區'!AF13+'東部海岸富岡地質公園及加路蘭休憩區'!AF13+'水往上流遊憩區(113年起停計)'!AF13+'都歷處本部'!AF13+'三仙台遊憩區及周邊地區'!AF13+'八仙洞遊憩區'!AF13+'秀姑巒溪遊客中心園區'!AF13+'石梯坪遊憩區'!AF13+'磯崎海濱遊憩區(113年起停計)'!AF13+'花蓮海洋公園'!AF13+'花蓮遊客中心園區'!AF13+'豐濱鄉親不知子海上古道及周邊地區'!AF13</f>
        <v>253937</v>
      </c>
      <c r="AG13" s="83">
        <f>'綠島遊憩區'!AG13+'東部海岸富岡地質公園及加路蘭休憩區'!AG13+'水往上流遊憩區(113年起停計)'!AG13+'都歷處本部'!AG13+'三仙台遊憩區及周邊地區'!AG13+'八仙洞遊憩區'!AG13+'秀姑巒溪遊客中心園區'!AG13+'石梯坪遊憩區'!AG13+'磯崎海濱遊憩區(113年起停計)'!AG13+'花蓮海洋公園'!AG13+'花蓮遊客中心園區'!AG13+'豐濱鄉親不知子海上古道及周邊地區'!AG13</f>
        <v>488492</v>
      </c>
      <c r="AH13" s="83">
        <f>'綠島遊憩區'!AH13+'東部海岸富岡地質公園及加路蘭休憩區'!AH13+'水往上流遊憩區(113年起停計)'!AH13+'都歷處本部'!AH13+'三仙台遊憩區及周邊地區'!AH13+'八仙洞遊憩區'!AH13+'秀姑巒溪遊客中心園區'!AH13+'石梯坪遊憩區'!AH13+'磯崎海濱遊憩區(113年起停計)'!AH13+'花蓮海洋公園'!AH13+'花蓮遊客中心園區'!AH13+'豐濱鄉親不知子海上古道及周邊地區'!AH13</f>
        <v>177274</v>
      </c>
      <c r="AI13" s="83">
        <f>'綠島遊憩區'!AI13+'東部海岸富岡地質公園及加路蘭休憩區'!AI13+'水往上流遊憩區(113年起停計)'!AI13+'都歷處本部'!AI13+'三仙台遊憩區及周邊地區'!AI13+'八仙洞遊憩區'!AI13+'秀姑巒溪遊客中心園區'!AI13+'石梯坪遊憩區'!AI13+'磯崎海濱遊憩區(113年起停計)'!AI13+'花蓮海洋公園'!AI13+'花蓮遊客中心園區'!AI13+'豐濱鄉親不知子海上古道及周邊地區'!AI13</f>
        <v>279041</v>
      </c>
      <c r="AJ13" s="83">
        <f>'綠島遊憩區'!AJ13+'東部海岸富岡地質公園及加路蘭休憩區'!AJ13+'水往上流遊憩區(113年起停計)'!AJ13+'都歷處本部'!AJ13+'三仙台遊憩區及周邊地區'!AJ13+'八仙洞遊憩區'!AJ13+'秀姑巒溪遊客中心園區'!AJ13+'石梯坪遊憩區'!AJ13+'磯崎海濱遊憩區(113年起停計)'!AJ13+'花蓮海洋公園'!AJ13+'花蓮遊客中心園區'!AJ13+'豐濱鄉親不知子海上古道及周邊地區'!AJ13</f>
        <v>194306</v>
      </c>
      <c r="AK13" s="83">
        <f>'綠島遊憩區'!AK13+'東部海岸富岡地質公園及加路蘭休憩區'!AK13+'都蘭遊憩區及周邊地區'!AK13+'都歷處本部'!AK13+'三仙台遊憩區及周邊地區'!AK13+'八仙洞遊憩區'!AK13+'秀姑巒溪遊客中心園區'!AK13+'石梯坪遊憩區'!AK13+'磯崎海濱遊憩區(113年起停計)'!AK13+'花蓮海洋公園'!AK13+'花蓮遊客中心園區'!AK13+'豐濱鄉親不知子海上古道及周邊地區'!AK13</f>
        <v>533256</v>
      </c>
      <c r="AL13" s="83">
        <f>'綠島遊憩區'!AL13+'東部海岸富岡地質公園及加路蘭休憩區'!AL13+'都蘭遊憩區及周邊地區'!AL13+'都歷處本部'!AL13+'三仙台遊憩區及周邊地區'!AL13+'八仙洞遊憩區'!AL13+'秀姑巒溪遊客中心園區'!AL13+'石梯坪遊憩區'!AL13+'磯崎海濱遊憩區(113年起停計)'!AL13+'花蓮海洋公園'!AL13+'花蓮遊客中心園區'!AL13+'豐濱鄉親不知子海上古道及周邊地區'!AL13</f>
        <v>537701</v>
      </c>
      <c r="AM13" s="83">
        <f>'綠島遊憩區'!AM13+'東部海岸富岡地質公園及加路蘭休憩區'!AM13+'都蘭遊憩區及周邊地區'!AM13+'都歷處本部'!AM13+'三仙台遊憩區及周邊地區'!AM13+'八仙洞遊憩區'!AM13+'秀姑巒溪遊客中心園區'!AM13+'石梯坪遊憩區'!AM13+'磯崎海濱遊憩區(113年起停計)'!AM13+'花蓮海洋公園'!AM13+'花蓮遊客中心園區'!AM13+'豐濱鄉親不知子海上古道及周邊地區'!AM13</f>
        <v>0</v>
      </c>
      <c r="AN13" s="83">
        <f>'綠島遊憩區'!AN13+'東部海岸富岡地質公園及加路蘭休憩區'!AN13+'都蘭遊憩區及周邊地區'!AN13+'都歷處本部'!AN13+'三仙台遊憩區及周邊地區'!AN13+'八仙洞遊憩區'!AN13+'秀姑巒溪遊客中心園區'!AN13+'石梯坪遊憩區'!AN13+'磯崎海濱遊憩區(113年起停計)'!AN13+'花蓮海洋公園'!AN13+'花蓮遊客中心園區'!AN13+'豐濱鄉親不知子海上古道及周邊地區'!AN13</f>
        <v>0</v>
      </c>
      <c r="AO13" s="83">
        <f>'綠島遊憩區'!AO13+'東部海岸富岡地質公園及加路蘭休憩區'!AO13+'都蘭遊憩區及周邊地區'!AO13+'都歷處本部'!AO13+'三仙台遊憩區及周邊地區'!AO13+'八仙洞遊憩區'!AO13+'秀姑巒溪遊客中心園區'!AO13+'石梯坪遊憩區'!AO13+'磯崎海濱遊憩區(113年起停計)'!AO13+'花蓮海洋公園'!AO13+'花蓮遊客中心園區'!AO13+'豐濱鄉親不知子海上古道及周邊地區'!AO13</f>
        <v>0</v>
      </c>
      <c r="AP13" s="83">
        <f>'綠島遊憩區'!AP13+'東部海岸富岡地質公園及加路蘭休憩區'!AP13+'都蘭遊憩區及周邊地區'!AP13+'都歷處本部'!AP13+'三仙台遊憩區及周邊地區'!AP13+'八仙洞遊憩區'!AP13+'秀姑巒溪遊客中心園區'!AP13+'石梯坪遊憩區'!AP13+'磯崎海濱遊憩區(113年起停計)'!AP13+'花蓮海洋公園'!AP13+'花蓮遊客中心園區'!AP13+'豐濱鄉親不知子海上古道及周邊地區'!AP13</f>
        <v>0</v>
      </c>
      <c r="AQ13" s="83">
        <f>'綠島遊憩區'!AQ13+'東部海岸富岡地質公園及加路蘭休憩區'!AQ13+'都蘭遊憩區及周邊地區'!AQ13+'都歷處本部'!AQ13+'三仙台遊憩區及周邊地區'!AQ13+'八仙洞遊憩區'!AQ13+'秀姑巒溪遊客中心園區'!AQ13+'石梯坪遊憩區'!AQ13+'磯崎海濱遊憩區(113年起停計)'!AQ13+'花蓮海洋公園'!AQ13+'花蓮遊客中心園區'!AQ13+'豐濱鄉親不知子海上古道及周邊地區'!AQ13</f>
        <v>0</v>
      </c>
      <c r="AR13" s="84">
        <f>'綠島遊憩區'!AR13+'東部海岸富岡地質公園及加路蘭休憩區'!AR13+'都蘭遊憩區及周邊地區'!AR13+'都歷處本部'!AR13+'三仙台遊憩區及周邊地區'!AR13+'八仙洞遊憩區'!AR13+'秀姑巒溪遊客中心園區'!AR13+'石梯坪遊憩區'!AR13+'磯崎海濱遊憩區(113年起停計)'!AR13+'花蓮海洋公園'!AR13+'花蓮遊客中心園區'!AR13+'豐濱鄉親不知子海上古道及周邊地區'!AR13</f>
        <v>0</v>
      </c>
    </row>
    <row r="14" ht="15.75" customHeight="1">
      <c r="A14" s="85">
        <v>10.0</v>
      </c>
      <c r="B14" s="83">
        <f>'綠島遊憩區'!B14+'東部海岸富岡地質公園及加路蘭休憩區'!B14+'水往上流遊憩區(113年起停計)'!B14+'都歷處本部'!B14+'三仙台遊憩區及周邊地區'!B14+'八仙洞遊憩區'!B14+'秀姑巒溪遊客中心園區'!B14+'石梯坪遊憩區'!B14+'磯崎海濱遊憩區(113年起停計)'!B14+'花蓮海洋公園'!B14+'花蓮遊客中心園區'!B14+'豐濱鄉親不知子海上古道及周邊地區'!B14</f>
        <v>3935</v>
      </c>
      <c r="C14" s="83">
        <f>'綠島遊憩區'!C14+'東部海岸富岡地質公園及加路蘭休憩區'!C14+'水往上流遊憩區(113年起停計)'!C14+'都歷處本部'!C14+'三仙台遊憩區及周邊地區'!C14+'八仙洞遊憩區'!C14+'秀姑巒溪遊客中心園區'!C14+'石梯坪遊憩區'!C14+'磯崎海濱遊憩區(113年起停計)'!C14+'花蓮海洋公園'!C14+'花蓮遊客中心園區'!C14+'豐濱鄉親不知子海上古道及周邊地區'!C14</f>
        <v>1082</v>
      </c>
      <c r="D14" s="83">
        <f>'綠島遊憩區'!D14+'東部海岸富岡地質公園及加路蘭休憩區'!D14+'水往上流遊憩區(113年起停計)'!D14+'都歷處本部'!D14+'三仙台遊憩區及周邊地區'!D14+'八仙洞遊憩區'!D14+'秀姑巒溪遊客中心園區'!D14+'石梯坪遊憩區'!D14+'磯崎海濱遊憩區(113年起停計)'!D14+'花蓮海洋公園'!D14+'花蓮遊客中心園區'!D14+'豐濱鄉親不知子海上古道及周邊地區'!D14</f>
        <v>1097</v>
      </c>
      <c r="E14" s="83">
        <f>'綠島遊憩區'!E14+'東部海岸富岡地質公園及加路蘭休憩區'!E14+'水往上流遊憩區(113年起停計)'!E14+'都歷處本部'!E14+'三仙台遊憩區及周邊地區'!E14+'八仙洞遊憩區'!E14+'秀姑巒溪遊客中心園區'!E14+'石梯坪遊憩區'!E14+'磯崎海濱遊憩區(113年起停計)'!E14+'花蓮海洋公園'!E14+'花蓮遊客中心園區'!E14+'豐濱鄉親不知子海上古道及周邊地區'!E14</f>
        <v>2311</v>
      </c>
      <c r="F14" s="83">
        <f>'綠島遊憩區'!F14+'東部海岸富岡地質公園及加路蘭休憩區'!F14+'水往上流遊憩區(113年起停計)'!F14+'都歷處本部'!F14+'三仙台遊憩區及周邊地區'!F14+'八仙洞遊憩區'!F14+'秀姑巒溪遊客中心園區'!F14+'石梯坪遊憩區'!F14+'磯崎海濱遊憩區(113年起停計)'!F14+'花蓮海洋公園'!F14+'花蓮遊客中心園區'!F14+'豐濱鄉親不知子海上古道及周邊地區'!F14</f>
        <v>1788</v>
      </c>
      <c r="G14" s="83">
        <f>'綠島遊憩區'!G14+'東部海岸富岡地質公園及加路蘭休憩區'!G14+'水往上流遊憩區(113年起停計)'!G14+'都歷處本部'!G14+'三仙台遊憩區及周邊地區'!G14+'八仙洞遊憩區'!G14+'秀姑巒溪遊客中心園區'!G14+'石梯坪遊憩區'!G14+'磯崎海濱遊憩區(113年起停計)'!G14+'花蓮海洋公園'!G14+'花蓮遊客中心園區'!G14+'豐濱鄉親不知子海上古道及周邊地區'!G14</f>
        <v>1738</v>
      </c>
      <c r="H14" s="83">
        <f>'綠島遊憩區'!H14+'東部海岸富岡地質公園及加路蘭休憩區'!H14+'水往上流遊憩區(113年起停計)'!H14+'都歷處本部'!H14+'三仙台遊憩區及周邊地區'!H14+'八仙洞遊憩區'!H14+'秀姑巒溪遊客中心園區'!H14+'石梯坪遊憩區'!H14+'磯崎海濱遊憩區(113年起停計)'!H14+'花蓮海洋公園'!H14+'花蓮遊客中心園區'!H14+'豐濱鄉親不知子海上古道及周邊地區'!H14</f>
        <v>2042</v>
      </c>
      <c r="I14" s="83">
        <f>'綠島遊憩區'!I14+'東部海岸富岡地質公園及加路蘭休憩區'!I14+'水往上流遊憩區(113年起停計)'!I14+'都歷處本部'!I14+'三仙台遊憩區及周邊地區'!I14+'八仙洞遊憩區'!I14+'秀姑巒溪遊客中心園區'!I14+'石梯坪遊憩區'!I14+'磯崎海濱遊憩區(113年起停計)'!I14+'花蓮海洋公園'!I14+'花蓮遊客中心園區'!I14+'豐濱鄉親不知子海上古道及周邊地區'!I14</f>
        <v>1704</v>
      </c>
      <c r="J14" s="83">
        <f>'綠島遊憩區'!J14+'東部海岸富岡地質公園及加路蘭休憩區'!J14+'水往上流遊憩區(113年起停計)'!J14+'都歷處本部'!J14+'三仙台遊憩區及周邊地區'!J14+'八仙洞遊憩區'!J14+'秀姑巒溪遊客中心園區'!J14+'石梯坪遊憩區'!J14+'磯崎海濱遊憩區(113年起停計)'!J14+'花蓮海洋公園'!J14+'花蓮遊客中心園區'!J14+'豐濱鄉親不知子海上古道及周邊地區'!J14</f>
        <v>4037</v>
      </c>
      <c r="K14" s="83">
        <f>'綠島遊憩區'!K14+'東部海岸富岡地質公園及加路蘭休憩區'!K14+'水往上流遊憩區(113年起停計)'!K14+'都歷處本部'!K14+'三仙台遊憩區及周邊地區'!K14+'八仙洞遊憩區'!K14+'秀姑巒溪遊客中心園區'!K14+'石梯坪遊憩區'!K14+'磯崎海濱遊憩區(113年起停計)'!K14+'花蓮海洋公園'!K14+'花蓮遊客中心園區'!K14+'豐濱鄉親不知子海上古道及周邊地區'!K14</f>
        <v>21687</v>
      </c>
      <c r="L14" s="83">
        <f>'綠島遊憩區'!L14+'東部海岸富岡地質公園及加路蘭休憩區'!L14+'水往上流遊憩區(113年起停計)'!L14+'都歷處本部'!L14+'三仙台遊憩區及周邊地區'!L14+'八仙洞遊憩區'!L14+'秀姑巒溪遊客中心園區'!L14+'石梯坪遊憩區'!L14+'磯崎海濱遊憩區(113年起停計)'!L14+'花蓮海洋公園'!L14+'花蓮遊客中心園區'!L14+'豐濱鄉親不知子海上古道及周邊地區'!L14</f>
        <v>12951</v>
      </c>
      <c r="M14" s="83">
        <f>'綠島遊憩區'!M14+'東部海岸富岡地質公園及加路蘭休憩區'!M14+'水往上流遊憩區(113年起停計)'!M14+'都歷處本部'!M14+'三仙台遊憩區及周邊地區'!M14+'八仙洞遊憩區'!M14+'秀姑巒溪遊客中心園區'!M14+'石梯坪遊憩區'!M14+'磯崎海濱遊憩區(113年起停計)'!M14+'花蓮海洋公園'!M14+'花蓮遊客中心園區'!M14+'豐濱鄉親不知子海上古道及周邊地區'!M14</f>
        <v>183279</v>
      </c>
      <c r="N14" s="83">
        <f>'綠島遊憩區'!N14+'東部海岸富岡地質公園及加路蘭休憩區'!N14+'水往上流遊憩區(113年起停計)'!N14+'都歷處本部'!N14+'三仙台遊憩區及周邊地區'!N14+'八仙洞遊憩區'!N14+'秀姑巒溪遊客中心園區'!N14+'石梯坪遊憩區'!N14+'磯崎海濱遊憩區(113年起停計)'!N14+'花蓮海洋公園'!N14+'花蓮遊客中心園區'!N14+'豐濱鄉親不知子海上古道及周邊地區'!N14</f>
        <v>166514</v>
      </c>
      <c r="O14" s="83">
        <f>'綠島遊憩區'!O14+'東部海岸富岡地質公園及加路蘭休憩區'!O14+'水往上流遊憩區(113年起停計)'!O14+'都歷處本部'!O14+'三仙台遊憩區及周邊地區'!O14+'八仙洞遊憩區'!O14+'秀姑巒溪遊客中心園區'!O14+'石梯坪遊憩區'!O14+'磯崎海濱遊憩區(113年起停計)'!O14+'花蓮海洋公園'!O14+'花蓮遊客中心園區'!O14+'豐濱鄉親不知子海上古道及周邊地區'!O14</f>
        <v>146192</v>
      </c>
      <c r="P14" s="83">
        <f>'綠島遊憩區'!P14+'東部海岸富岡地質公園及加路蘭休憩區'!P14+'水往上流遊憩區(113年起停計)'!P14+'都歷處本部'!P14+'三仙台遊憩區及周邊地區'!P14+'八仙洞遊憩區'!P14+'秀姑巒溪遊客中心園區'!P14+'石梯坪遊憩區'!P14+'磯崎海濱遊憩區(113年起停計)'!P14+'花蓮海洋公園'!P14+'花蓮遊客中心園區'!P14+'豐濱鄉親不知子海上古道及周邊地區'!P14</f>
        <v>288114</v>
      </c>
      <c r="Q14" s="83">
        <f>'綠島遊憩區'!Q14+'東部海岸富岡地質公園及加路蘭休憩區'!Q14+'水往上流遊憩區(113年起停計)'!Q14+'都歷處本部'!Q14+'三仙台遊憩區及周邊地區'!Q14+'八仙洞遊憩區'!Q14+'秀姑巒溪遊客中心園區'!Q14+'石梯坪遊憩區'!Q14+'磯崎海濱遊憩區(113年起停計)'!Q14+'花蓮海洋公園'!Q14+'花蓮遊客中心園區'!Q14+'豐濱鄉親不知子海上古道及周邊地區'!Q14</f>
        <v>225753</v>
      </c>
      <c r="R14" s="83">
        <f>'綠島遊憩區'!R14+'東部海岸富岡地質公園及加路蘭休憩區'!R14+'水往上流遊憩區(113年起停計)'!R14+'都歷處本部'!R14+'三仙台遊憩區及周邊地區'!R14+'八仙洞遊憩區'!R14+'秀姑巒溪遊客中心園區'!R14+'石梯坪遊憩區'!R14+'磯崎海濱遊憩區(113年起停計)'!R14+'花蓮海洋公園'!R14+'花蓮遊客中心園區'!R14+'豐濱鄉親不知子海上古道及周邊地區'!R14</f>
        <v>268354</v>
      </c>
      <c r="S14" s="83">
        <f>'綠島遊憩區'!S14+'東部海岸富岡地質公園及加路蘭休憩區'!S14+'水往上流遊憩區(113年起停計)'!S14+'都歷處本部'!S14+'三仙台遊憩區及周邊地區'!S14+'八仙洞遊憩區'!S14+'秀姑巒溪遊客中心園區'!S14+'石梯坪遊憩區'!S14+'磯崎海濱遊憩區(113年起停計)'!S14+'花蓮海洋公園'!S14+'花蓮遊客中心園區'!S14+'豐濱鄉親不知子海上古道及周邊地區'!S14</f>
        <v>287292</v>
      </c>
      <c r="T14" s="83">
        <f>'綠島遊憩區'!T14+'東部海岸富岡地質公園及加路蘭休憩區'!T14+'水往上流遊憩區(113年起停計)'!T14+'都歷處本部'!T14+'三仙台遊憩區及周邊地區'!T14+'八仙洞遊憩區'!T14+'秀姑巒溪遊客中心園區'!T14+'石梯坪遊憩區'!T14+'磯崎海濱遊憩區(113年起停計)'!T14+'花蓮海洋公園'!T14+'花蓮遊客中心園區'!T14+'豐濱鄉親不知子海上古道及周邊地區'!T14</f>
        <v>175660</v>
      </c>
      <c r="U14" s="83">
        <f>'綠島遊憩區'!U14+'東部海岸富岡地質公園及加路蘭休憩區'!U14+'水往上流遊憩區(113年起停計)'!U14+'都歷處本部'!U14+'三仙台遊憩區及周邊地區'!U14+'八仙洞遊憩區'!U14+'秀姑巒溪遊客中心園區'!U14+'石梯坪遊憩區'!U14+'磯崎海濱遊憩區(113年起停計)'!U14+'花蓮海洋公園'!U14+'花蓮遊客中心園區'!U14+'豐濱鄉親不知子海上古道及周邊地區'!U14</f>
        <v>195620</v>
      </c>
      <c r="V14" s="83">
        <f>'綠島遊憩區'!V14+'東部海岸富岡地質公園及加路蘭休憩區'!V14+'水往上流遊憩區(113年起停計)'!V14+'都歷處本部'!V14+'三仙台遊憩區及周邊地區'!V14+'八仙洞遊憩區'!V14+'秀姑巒溪遊客中心園區'!V14+'石梯坪遊憩區'!V14+'磯崎海濱遊憩區(113年起停計)'!V14+'花蓮海洋公園'!V14+'花蓮遊客中心園區'!V14+'豐濱鄉親不知子海上古道及周邊地區'!V14</f>
        <v>140964</v>
      </c>
      <c r="W14" s="83">
        <f>'綠島遊憩區'!W14+'東部海岸富岡地質公園及加路蘭休憩區'!W14+'水往上流遊憩區(113年起停計)'!W14+'都歷處本部'!W14+'三仙台遊憩區及周邊地區'!W14+'八仙洞遊憩區'!W14+'秀姑巒溪遊客中心園區'!W14+'石梯坪遊憩區'!W14+'磯崎海濱遊憩區(113年起停計)'!W14+'花蓮海洋公園'!W14+'花蓮遊客中心園區'!W14+'豐濱鄉親不知子海上古道及周邊地區'!W14</f>
        <v>213343</v>
      </c>
      <c r="X14" s="83">
        <f>'綠島遊憩區'!X14+'東部海岸富岡地質公園及加路蘭休憩區'!X14+'水往上流遊憩區(113年起停計)'!X14+'都歷處本部'!X14+'三仙台遊憩區及周邊地區'!X14+'八仙洞遊憩區'!X14+'秀姑巒溪遊客中心園區'!X14+'石梯坪遊憩區'!X14+'磯崎海濱遊憩區(113年起停計)'!X14+'花蓮海洋公園'!X14+'花蓮遊客中心園區'!X14+'豐濱鄉親不知子海上古道及周邊地區'!X14</f>
        <v>269718</v>
      </c>
      <c r="Y14" s="83">
        <f>'綠島遊憩區'!Y14+'東部海岸富岡地質公園及加路蘭休憩區'!Y14+'水往上流遊憩區(113年起停計)'!Y14+'都歷處本部'!Y14+'三仙台遊憩區及周邊地區'!Y14+'八仙洞遊憩區'!Y14+'秀姑巒溪遊客中心園區'!Y14+'石梯坪遊憩區'!Y14+'磯崎海濱遊憩區(113年起停計)'!Y14+'花蓮海洋公園'!Y14+'花蓮遊客中心園區'!Y14+'豐濱鄉親不知子海上古道及周邊地區'!Y14</f>
        <v>268666</v>
      </c>
      <c r="Z14" s="83">
        <f>'綠島遊憩區'!Z14+'東部海岸富岡地質公園及加路蘭休憩區'!Z14+'水往上流遊憩區(113年起停計)'!Z14+'都歷處本部'!Z14+'三仙台遊憩區及周邊地區'!Z14+'八仙洞遊憩區'!Z14+'秀姑巒溪遊客中心園區'!Z14+'石梯坪遊憩區'!Z14+'磯崎海濱遊憩區(113年起停計)'!Z14+'花蓮海洋公園'!Z14+'花蓮遊客中心園區'!Z14+'豐濱鄉親不知子海上古道及周邊地區'!Z14</f>
        <v>317810.1</v>
      </c>
      <c r="AA14" s="83">
        <f>'綠島遊憩區'!AA14+'東部海岸富岡地質公園及加路蘭休憩區'!AA14+'水往上流遊憩區(113年起停計)'!AA14+'都歷處本部'!AA14+'三仙台遊憩區及周邊地區'!AA14+'八仙洞遊憩區'!AA14+'秀姑巒溪遊客中心園區'!AA14+'石梯坪遊憩區'!AA14+'磯崎海濱遊憩區(113年起停計)'!AA14+'花蓮海洋公園'!AA14+'花蓮遊客中心園區'!AA14+'豐濱鄉親不知子海上古道及周邊地區'!AA14</f>
        <v>487711</v>
      </c>
      <c r="AB14" s="83">
        <f>'綠島遊憩區'!AB14+'東部海岸富岡地質公園及加路蘭休憩區'!AB14+'水往上流遊憩區(113年起停計)'!AB14+'都歷處本部'!AB14+'三仙台遊憩區及周邊地區'!AB14+'八仙洞遊憩區'!AB14+'秀姑巒溪遊客中心園區'!AB14+'石梯坪遊憩區'!AB14+'磯崎海濱遊憩區(113年起停計)'!AB14+'花蓮海洋公園'!AB14+'花蓮遊客中心園區'!AB14+'豐濱鄉親不知子海上古道及周邊地區'!AB14</f>
        <v>289799</v>
      </c>
      <c r="AC14" s="83">
        <f>'綠島遊憩區'!AC14+'東部海岸富岡地質公園及加路蘭休憩區'!AC14+'水往上流遊憩區(113年起停計)'!AC14+'都歷處本部'!AC14+'三仙台遊憩區及周邊地區'!AC14+'八仙洞遊憩區'!AC14+'秀姑巒溪遊客中心園區'!AC14+'石梯坪遊憩區'!AC14+'磯崎海濱遊憩區(113年起停計)'!AC14+'花蓮海洋公園'!AC14+'花蓮遊客中心園區'!AC14+'豐濱鄉親不知子海上古道及周邊地區'!AC14</f>
        <v>211380</v>
      </c>
      <c r="AD14" s="83">
        <f>'綠島遊憩區'!AD14+'東部海岸富岡地質公園及加路蘭休憩區'!AD14+'水往上流遊憩區(113年起停計)'!AD14+'都歷處本部'!AD14+'三仙台遊憩區及周邊地區'!AD14+'八仙洞遊憩區'!AD14+'秀姑巒溪遊客中心園區'!AD14+'石梯坪遊憩區'!AD14+'磯崎海濱遊憩區(113年起停計)'!AD14+'花蓮海洋公園'!AD14+'花蓮遊客中心園區'!AD14+'豐濱鄉親不知子海上古道及周邊地區'!AD14</f>
        <v>298631</v>
      </c>
      <c r="AE14" s="83">
        <f>'綠島遊憩區'!AE14+'東部海岸富岡地質公園及加路蘭休憩區'!AE14+'水往上流遊憩區(113年起停計)'!AE14+'都歷處本部'!AE14+'三仙台遊憩區及周邊地區'!AE14+'八仙洞遊憩區'!AE14+'秀姑巒溪遊客中心園區'!AE14+'石梯坪遊憩區'!AE14+'磯崎海濱遊憩區(113年起停計)'!AE14+'花蓮海洋公園'!AE14+'花蓮遊客中心園區'!AE14+'豐濱鄉親不知子海上古道及周邊地區'!AE14</f>
        <v>214792</v>
      </c>
      <c r="AF14" s="83">
        <f>'綠島遊憩區'!AF14+'東部海岸富岡地質公園及加路蘭休憩區'!AF14+'水往上流遊憩區(113年起停計)'!AF14+'都歷處本部'!AF14+'三仙台遊憩區及周邊地區'!AF14+'八仙洞遊憩區'!AF14+'秀姑巒溪遊客中心園區'!AF14+'石梯坪遊憩區'!AF14+'磯崎海濱遊憩區(113年起停計)'!AF14+'花蓮海洋公園'!AF14+'花蓮遊客中心園區'!AF14+'豐濱鄉親不知子海上古道及周邊地區'!AF14</f>
        <v>318816</v>
      </c>
      <c r="AG14" s="83">
        <f>'綠島遊憩區'!AG14+'東部海岸富岡地質公園及加路蘭休憩區'!AG14+'水往上流遊憩區(113年起停計)'!AG14+'都歷處本部'!AG14+'三仙台遊憩區及周邊地區'!AG14+'八仙洞遊憩區'!AG14+'秀姑巒溪遊客中心園區'!AG14+'石梯坪遊憩區'!AG14+'磯崎海濱遊憩區(113年起停計)'!AG14+'花蓮海洋公園'!AG14+'花蓮遊客中心園區'!AG14+'豐濱鄉親不知子海上古道及周邊地區'!AG14</f>
        <v>556114</v>
      </c>
      <c r="AH14" s="83">
        <f>'綠島遊憩區'!AH14+'東部海岸富岡地質公園及加路蘭休憩區'!AH14+'水往上流遊憩區(113年起停計)'!AH14+'都歷處本部'!AH14+'三仙台遊憩區及周邊地區'!AH14+'八仙洞遊憩區'!AH14+'秀姑巒溪遊客中心園區'!AH14+'石梯坪遊憩區'!AH14+'磯崎海濱遊憩區(113年起停計)'!AH14+'花蓮海洋公園'!AH14+'花蓮遊客中心園區'!AH14+'豐濱鄉親不知子海上古道及周邊地區'!AH14</f>
        <v>242081</v>
      </c>
      <c r="AI14" s="83">
        <f>'綠島遊憩區'!AI14+'東部海岸富岡地質公園及加路蘭休憩區'!AI14+'水往上流遊憩區(113年起停計)'!AI14+'都歷處本部'!AI14+'三仙台遊憩區及周邊地區'!AI14+'八仙洞遊憩區'!AI14+'秀姑巒溪遊客中心園區'!AI14+'石梯坪遊憩區'!AI14+'磯崎海濱遊憩區(113年起停計)'!AI14+'花蓮海洋公園'!AI14+'花蓮遊客中心園區'!AI14+'豐濱鄉親不知子海上古道及周邊地區'!AI14</f>
        <v>208716</v>
      </c>
      <c r="AJ14" s="83">
        <f>'綠島遊憩區'!AJ14+'東部海岸富岡地質公園及加路蘭休憩區'!AJ14+'水往上流遊憩區(113年起停計)'!AJ14+'都歷處本部'!AJ14+'三仙台遊憩區及周邊地區'!AJ14+'八仙洞遊憩區'!AJ14+'秀姑巒溪遊客中心園區'!AJ14+'石梯坪遊憩區'!AJ14+'磯崎海濱遊憩區(113年起停計)'!AJ14+'花蓮海洋公園'!AJ14+'花蓮遊客中心園區'!AJ14+'豐濱鄉親不知子海上古道及周邊地區'!AJ14</f>
        <v>248180</v>
      </c>
      <c r="AK14" s="83">
        <f>'綠島遊憩區'!AK14+'東部海岸富岡地質公園及加路蘭休憩區'!AK14+'都蘭遊憩區及周邊地區'!AK14+'都歷處本部'!AK14+'三仙台遊憩區及周邊地區'!AK14+'八仙洞遊憩區'!AK14+'秀姑巒溪遊客中心園區'!AK14+'石梯坪遊憩區'!AK14+'磯崎海濱遊憩區(113年起停計)'!AK14+'花蓮海洋公園'!AK14+'花蓮遊客中心園區'!AK14+'豐濱鄉親不知子海上古道及周邊地區'!AK14</f>
        <v>521991</v>
      </c>
      <c r="AL14" s="83">
        <f>'綠島遊憩區'!AL14+'東部海岸富岡地質公園及加路蘭休憩區'!AL14+'都蘭遊憩區及周邊地區'!AL14+'都歷處本部'!AL14+'三仙台遊憩區及周邊地區'!AL14+'八仙洞遊憩區'!AL14+'秀姑巒溪遊客中心園區'!AL14+'石梯坪遊憩區'!AL14+'磯崎海濱遊憩區(113年起停計)'!AL14+'花蓮海洋公園'!AL14+'花蓮遊客中心園區'!AL14+'豐濱鄉親不知子海上古道及周邊地區'!AL14</f>
        <v>646592</v>
      </c>
      <c r="AM14" s="83">
        <f>'綠島遊憩區'!AM14+'東部海岸富岡地質公園及加路蘭休憩區'!AM14+'都蘭遊憩區及周邊地區'!AM14+'都歷處本部'!AM14+'三仙台遊憩區及周邊地區'!AM14+'八仙洞遊憩區'!AM14+'秀姑巒溪遊客中心園區'!AM14+'石梯坪遊憩區'!AM14+'磯崎海濱遊憩區(113年起停計)'!AM14+'花蓮海洋公園'!AM14+'花蓮遊客中心園區'!AM14+'豐濱鄉親不知子海上古道及周邊地區'!AM14</f>
        <v>0</v>
      </c>
      <c r="AN14" s="83">
        <f>'綠島遊憩區'!AN14+'東部海岸富岡地質公園及加路蘭休憩區'!AN14+'都蘭遊憩區及周邊地區'!AN14+'都歷處本部'!AN14+'三仙台遊憩區及周邊地區'!AN14+'八仙洞遊憩區'!AN14+'秀姑巒溪遊客中心園區'!AN14+'石梯坪遊憩區'!AN14+'磯崎海濱遊憩區(113年起停計)'!AN14+'花蓮海洋公園'!AN14+'花蓮遊客中心園區'!AN14+'豐濱鄉親不知子海上古道及周邊地區'!AN14</f>
        <v>0</v>
      </c>
      <c r="AO14" s="83">
        <f>'綠島遊憩區'!AO14+'東部海岸富岡地質公園及加路蘭休憩區'!AO14+'都蘭遊憩區及周邊地區'!AO14+'都歷處本部'!AO14+'三仙台遊憩區及周邊地區'!AO14+'八仙洞遊憩區'!AO14+'秀姑巒溪遊客中心園區'!AO14+'石梯坪遊憩區'!AO14+'磯崎海濱遊憩區(113年起停計)'!AO14+'花蓮海洋公園'!AO14+'花蓮遊客中心園區'!AO14+'豐濱鄉親不知子海上古道及周邊地區'!AO14</f>
        <v>0</v>
      </c>
      <c r="AP14" s="83">
        <f>'綠島遊憩區'!AP14+'東部海岸富岡地質公園及加路蘭休憩區'!AP14+'都蘭遊憩區及周邊地區'!AP14+'都歷處本部'!AP14+'三仙台遊憩區及周邊地區'!AP14+'八仙洞遊憩區'!AP14+'秀姑巒溪遊客中心園區'!AP14+'石梯坪遊憩區'!AP14+'磯崎海濱遊憩區(113年起停計)'!AP14+'花蓮海洋公園'!AP14+'花蓮遊客中心園區'!AP14+'豐濱鄉親不知子海上古道及周邊地區'!AP14</f>
        <v>0</v>
      </c>
      <c r="AQ14" s="83">
        <f>'綠島遊憩區'!AQ14+'東部海岸富岡地質公園及加路蘭休憩區'!AQ14+'都蘭遊憩區及周邊地區'!AQ14+'都歷處本部'!AQ14+'三仙台遊憩區及周邊地區'!AQ14+'八仙洞遊憩區'!AQ14+'秀姑巒溪遊客中心園區'!AQ14+'石梯坪遊憩區'!AQ14+'磯崎海濱遊憩區(113年起停計)'!AQ14+'花蓮海洋公園'!AQ14+'花蓮遊客中心園區'!AQ14+'豐濱鄉親不知子海上古道及周邊地區'!AQ14</f>
        <v>0</v>
      </c>
      <c r="AR14" s="84">
        <f>'綠島遊憩區'!AR14+'東部海岸富岡地質公園及加路蘭休憩區'!AR14+'都蘭遊憩區及周邊地區'!AR14+'都歷處本部'!AR14+'三仙台遊憩區及周邊地區'!AR14+'八仙洞遊憩區'!AR14+'秀姑巒溪遊客中心園區'!AR14+'石梯坪遊憩區'!AR14+'磯崎海濱遊憩區(113年起停計)'!AR14+'花蓮海洋公園'!AR14+'花蓮遊客中心園區'!AR14+'豐濱鄉親不知子海上古道及周邊地區'!AR14</f>
        <v>0</v>
      </c>
    </row>
    <row r="15" ht="15.75" customHeight="1">
      <c r="A15" s="85">
        <v>11.0</v>
      </c>
      <c r="B15" s="83">
        <f>'綠島遊憩區'!B15+'東部海岸富岡地質公園及加路蘭休憩區'!B15+'水往上流遊憩區(113年起停計)'!B15+'都歷處本部'!B15+'三仙台遊憩區及周邊地區'!B15+'八仙洞遊憩區'!B15+'秀姑巒溪遊客中心園區'!B15+'石梯坪遊憩區'!B15+'磯崎海濱遊憩區(113年起停計)'!B15+'花蓮海洋公園'!B15+'花蓮遊客中心園區'!B15+'豐濱鄉親不知子海上古道及周邊地區'!B15</f>
        <v>706</v>
      </c>
      <c r="C15" s="83">
        <f>'綠島遊憩區'!C15+'東部海岸富岡地質公園及加路蘭休憩區'!C15+'水往上流遊憩區(113年起停計)'!C15+'都歷處本部'!C15+'三仙台遊憩區及周邊地區'!C15+'八仙洞遊憩區'!C15+'秀姑巒溪遊客中心園區'!C15+'石梯坪遊憩區'!C15+'磯崎海濱遊憩區(113年起停計)'!C15+'花蓮海洋公園'!C15+'花蓮遊客中心園區'!C15+'豐濱鄉親不知子海上古道及周邊地區'!C15</f>
        <v>237</v>
      </c>
      <c r="D15" s="83">
        <f>'綠島遊憩區'!D15+'東部海岸富岡地質公園及加路蘭休憩區'!D15+'水往上流遊憩區(113年起停計)'!D15+'都歷處本部'!D15+'三仙台遊憩區及周邊地區'!D15+'八仙洞遊憩區'!D15+'秀姑巒溪遊客中心園區'!D15+'石梯坪遊憩區'!D15+'磯崎海濱遊憩區(113年起停計)'!D15+'花蓮海洋公園'!D15+'花蓮遊客中心園區'!D15+'豐濱鄉親不知子海上古道及周邊地區'!D15</f>
        <v>249</v>
      </c>
      <c r="E15" s="83">
        <f>'綠島遊憩區'!E15+'東部海岸富岡地質公園及加路蘭休憩區'!E15+'水往上流遊憩區(113年起停計)'!E15+'都歷處本部'!E15+'三仙台遊憩區及周邊地區'!E15+'八仙洞遊憩區'!E15+'秀姑巒溪遊客中心園區'!E15+'石梯坪遊憩區'!E15+'磯崎海濱遊憩區(113年起停計)'!E15+'花蓮海洋公園'!E15+'花蓮遊客中心園區'!E15+'豐濱鄉親不知子海上古道及周邊地區'!E15</f>
        <v>199</v>
      </c>
      <c r="F15" s="83">
        <f>'綠島遊憩區'!F15+'東部海岸富岡地質公園及加路蘭休憩區'!F15+'水往上流遊憩區(113年起停計)'!F15+'都歷處本部'!F15+'三仙台遊憩區及周邊地區'!F15+'八仙洞遊憩區'!F15+'秀姑巒溪遊客中心園區'!F15+'石梯坪遊憩區'!F15+'磯崎海濱遊憩區(113年起停計)'!F15+'花蓮海洋公園'!F15+'花蓮遊客中心園區'!F15+'豐濱鄉親不知子海上古道及周邊地區'!F15</f>
        <v>224</v>
      </c>
      <c r="G15" s="83">
        <f>'綠島遊憩區'!G15+'東部海岸富岡地質公園及加路蘭休憩區'!G15+'水往上流遊憩區(113年起停計)'!G15+'都歷處本部'!G15+'三仙台遊憩區及周邊地區'!G15+'八仙洞遊憩區'!G15+'秀姑巒溪遊客中心園區'!G15+'石梯坪遊憩區'!G15+'磯崎海濱遊憩區(113年起停計)'!G15+'花蓮海洋公園'!G15+'花蓮遊客中心園區'!G15+'豐濱鄉親不知子海上古道及周邊地區'!G15</f>
        <v>494</v>
      </c>
      <c r="H15" s="83">
        <f>'綠島遊憩區'!H15+'東部海岸富岡地質公園及加路蘭休憩區'!H15+'水往上流遊憩區(113年起停計)'!H15+'都歷處本部'!H15+'三仙台遊憩區及周邊地區'!H15+'八仙洞遊憩區'!H15+'秀姑巒溪遊客中心園區'!H15+'石梯坪遊憩區'!H15+'磯崎海濱遊憩區(113年起停計)'!H15+'花蓮海洋公園'!H15+'花蓮遊客中心園區'!H15+'豐濱鄉親不知子海上古道及周邊地區'!H15</f>
        <v>403</v>
      </c>
      <c r="I15" s="83">
        <f>'綠島遊憩區'!I15+'東部海岸富岡地質公園及加路蘭休憩區'!I15+'水往上流遊憩區(113年起停計)'!I15+'都歷處本部'!I15+'三仙台遊憩區及周邊地區'!I15+'八仙洞遊憩區'!I15+'秀姑巒溪遊客中心園區'!I15+'石梯坪遊憩區'!I15+'磯崎海濱遊憩區(113年起停計)'!I15+'花蓮海洋公園'!I15+'花蓮遊客中心園區'!I15+'豐濱鄉親不知子海上古道及周邊地區'!I15</f>
        <v>198</v>
      </c>
      <c r="J15" s="83">
        <f>'綠島遊憩區'!J15+'東部海岸富岡地質公園及加路蘭休憩區'!J15+'水往上流遊憩區(113年起停計)'!J15+'都歷處本部'!J15+'三仙台遊憩區及周邊地區'!J15+'八仙洞遊憩區'!J15+'秀姑巒溪遊客中心園區'!J15+'石梯坪遊憩區'!J15+'磯崎海濱遊憩區(113年起停計)'!J15+'花蓮海洋公園'!J15+'花蓮遊客中心園區'!J15+'豐濱鄉親不知子海上古道及周邊地區'!J15</f>
        <v>496</v>
      </c>
      <c r="K15" s="83">
        <f>'綠島遊憩區'!K15+'東部海岸富岡地質公園及加路蘭休憩區'!K15+'水往上流遊憩區(113年起停計)'!K15+'都歷處本部'!K15+'三仙台遊憩區及周邊地區'!K15+'八仙洞遊憩區'!K15+'秀姑巒溪遊客中心園區'!K15+'石梯坪遊憩區'!K15+'磯崎海濱遊憩區(113年起停計)'!K15+'花蓮海洋公園'!K15+'花蓮遊客中心園區'!K15+'豐濱鄉親不知子海上古道及周邊地區'!K15</f>
        <v>15435</v>
      </c>
      <c r="L15" s="83">
        <f>'綠島遊憩區'!L15+'東部海岸富岡地質公園及加路蘭休憩區'!L15+'水往上流遊憩區(113年起停計)'!L15+'都歷處本部'!L15+'三仙台遊憩區及周邊地區'!L15+'八仙洞遊憩區'!L15+'秀姑巒溪遊客中心園區'!L15+'石梯坪遊憩區'!L15+'磯崎海濱遊憩區(113年起停計)'!L15+'花蓮海洋公園'!L15+'花蓮遊客中心園區'!L15+'豐濱鄉親不知子海上古道及周邊地區'!L15</f>
        <v>10823</v>
      </c>
      <c r="M15" s="83">
        <f>'綠島遊憩區'!M15+'東部海岸富岡地質公園及加路蘭休憩區'!M15+'水往上流遊憩區(113年起停計)'!M15+'都歷處本部'!M15+'三仙台遊憩區及周邊地區'!M15+'八仙洞遊憩區'!M15+'秀姑巒溪遊客中心園區'!M15+'石梯坪遊憩區'!M15+'磯崎海濱遊憩區(113年起停計)'!M15+'花蓮海洋公園'!M15+'花蓮遊客中心園區'!M15+'豐濱鄉親不知子海上古道及周邊地區'!M15</f>
        <v>129686</v>
      </c>
      <c r="N15" s="83">
        <f>'綠島遊憩區'!N15+'東部海岸富岡地質公園及加路蘭休憩區'!N15+'水往上流遊憩區(113年起停計)'!N15+'都歷處本部'!N15+'三仙台遊憩區及周邊地區'!N15+'八仙洞遊憩區'!N15+'秀姑巒溪遊客中心園區'!N15+'石梯坪遊憩區'!N15+'磯崎海濱遊憩區(113年起停計)'!N15+'花蓮海洋公園'!N15+'花蓮遊客中心園區'!N15+'豐濱鄉親不知子海上古道及周邊地區'!N15</f>
        <v>141901</v>
      </c>
      <c r="O15" s="83">
        <f>'綠島遊憩區'!O15+'東部海岸富岡地質公園及加路蘭休憩區'!O15+'水往上流遊憩區(113年起停計)'!O15+'都歷處本部'!O15+'三仙台遊憩區及周邊地區'!O15+'八仙洞遊憩區'!O15+'秀姑巒溪遊客中心園區'!O15+'石梯坪遊憩區'!O15+'磯崎海濱遊憩區(113年起停計)'!O15+'花蓮海洋公園'!O15+'花蓮遊客中心園區'!O15+'豐濱鄉親不知子海上古道及周邊地區'!O15</f>
        <v>156989</v>
      </c>
      <c r="P15" s="83">
        <f>'綠島遊憩區'!P15+'東部海岸富岡地質公園及加路蘭休憩區'!P15+'水往上流遊憩區(113年起停計)'!P15+'都歷處本部'!P15+'三仙台遊憩區及周邊地區'!P15+'八仙洞遊憩區'!P15+'秀姑巒溪遊客中心園區'!P15+'石梯坪遊憩區'!P15+'磯崎海濱遊憩區(113年起停計)'!P15+'花蓮海洋公園'!P15+'花蓮遊客中心園區'!P15+'豐濱鄉親不知子海上古道及周邊地區'!P15</f>
        <v>206327</v>
      </c>
      <c r="Q15" s="83">
        <f>'綠島遊憩區'!Q15+'東部海岸富岡地質公園及加路蘭休憩區'!Q15+'水往上流遊憩區(113年起停計)'!Q15+'都歷處本部'!Q15+'三仙台遊憩區及周邊地區'!Q15+'八仙洞遊憩區'!Q15+'秀姑巒溪遊客中心園區'!Q15+'石梯坪遊憩區'!Q15+'磯崎海濱遊憩區(113年起停計)'!Q15+'花蓮海洋公園'!Q15+'花蓮遊客中心園區'!Q15+'豐濱鄉親不知子海上古道及周邊地區'!Q15</f>
        <v>199906</v>
      </c>
      <c r="R15" s="83">
        <f>'綠島遊憩區'!R15+'東部海岸富岡地質公園及加路蘭休憩區'!R15+'水往上流遊憩區(113年起停計)'!R15+'都歷處本部'!R15+'三仙台遊憩區及周邊地區'!R15+'八仙洞遊憩區'!R15+'秀姑巒溪遊客中心園區'!R15+'石梯坪遊憩區'!R15+'磯崎海濱遊憩區(113年起停計)'!R15+'花蓮海洋公園'!R15+'花蓮遊客中心園區'!R15+'豐濱鄉親不知子海上古道及周邊地區'!R15</f>
        <v>179383</v>
      </c>
      <c r="S15" s="83">
        <f>'綠島遊憩區'!S15+'東部海岸富岡地質公園及加路蘭休憩區'!S15+'水往上流遊憩區(113年起停計)'!S15+'都歷處本部'!S15+'三仙台遊憩區及周邊地區'!S15+'八仙洞遊憩區'!S15+'秀姑巒溪遊客中心園區'!S15+'石梯坪遊憩區'!S15+'磯崎海濱遊憩區(113年起停計)'!S15+'花蓮海洋公園'!S15+'花蓮遊客中心園區'!S15+'豐濱鄉親不知子海上古道及周邊地區'!S15</f>
        <v>217543</v>
      </c>
      <c r="T15" s="83">
        <f>'綠島遊憩區'!T15+'東部海岸富岡地質公園及加路蘭休憩區'!T15+'水往上流遊憩區(113年起停計)'!T15+'都歷處本部'!T15+'三仙台遊憩區及周邊地區'!T15+'八仙洞遊憩區'!T15+'秀姑巒溪遊客中心園區'!T15+'石梯坪遊憩區'!T15+'磯崎海濱遊憩區(113年起停計)'!T15+'花蓮海洋公園'!T15+'花蓮遊客中心園區'!T15+'豐濱鄉親不知子海上古道及周邊地區'!T15</f>
        <v>142926</v>
      </c>
      <c r="U15" s="83">
        <f>'綠島遊憩區'!U15+'東部海岸富岡地質公園及加路蘭休憩區'!U15+'水往上流遊憩區(113年起停計)'!U15+'都歷處本部'!U15+'三仙台遊憩區及周邊地區'!U15+'八仙洞遊憩區'!U15+'秀姑巒溪遊客中心園區'!U15+'石梯坪遊憩區'!U15+'磯崎海濱遊憩區(113年起停計)'!U15+'花蓮海洋公園'!U15+'花蓮遊客中心園區'!U15+'豐濱鄉親不知子海上古道及周邊地區'!U15</f>
        <v>145812</v>
      </c>
      <c r="V15" s="83">
        <f>'綠島遊憩區'!V15+'東部海岸富岡地質公園及加路蘭休憩區'!V15+'水往上流遊憩區(113年起停計)'!V15+'都歷處本部'!V15+'三仙台遊憩區及周邊地區'!V15+'八仙洞遊憩區'!V15+'秀姑巒溪遊客中心園區'!V15+'石梯坪遊憩區'!V15+'磯崎海濱遊憩區(113年起停計)'!V15+'花蓮海洋公園'!V15+'花蓮遊客中心園區'!V15+'豐濱鄉親不知子海上古道及周邊地區'!V15</f>
        <v>159961</v>
      </c>
      <c r="W15" s="83">
        <f>'綠島遊憩區'!W15+'東部海岸富岡地質公園及加路蘭休憩區'!W15+'水往上流遊憩區(113年起停計)'!W15+'都歷處本部'!W15+'三仙台遊憩區及周邊地區'!W15+'八仙洞遊憩區'!W15+'秀姑巒溪遊客中心園區'!W15+'石梯坪遊憩區'!W15+'磯崎海濱遊憩區(113年起停計)'!W15+'花蓮海洋公園'!W15+'花蓮遊客中心園區'!W15+'豐濱鄉親不知子海上古道及周邊地區'!W15</f>
        <v>192229</v>
      </c>
      <c r="X15" s="83">
        <f>'綠島遊憩區'!X15+'東部海岸富岡地質公園及加路蘭休憩區'!X15+'水往上流遊憩區(113年起停計)'!X15+'都歷處本部'!X15+'三仙台遊憩區及周邊地區'!X15+'八仙洞遊憩區'!X15+'秀姑巒溪遊客中心園區'!X15+'石梯坪遊憩區'!X15+'磯崎海濱遊憩區(113年起停計)'!X15+'花蓮海洋公園'!X15+'花蓮遊客中心園區'!X15+'豐濱鄉親不知子海上古道及周邊地區'!X15</f>
        <v>225001</v>
      </c>
      <c r="Y15" s="83">
        <f>'綠島遊憩區'!Y15+'東部海岸富岡地質公園及加路蘭休憩區'!Y15+'水往上流遊憩區(113年起停計)'!Y15+'都歷處本部'!Y15+'三仙台遊憩區及周邊地區'!Y15+'八仙洞遊憩區'!Y15+'秀姑巒溪遊客中心園區'!Y15+'石梯坪遊憩區'!Y15+'磯崎海濱遊憩區(113年起停計)'!Y15+'花蓮海洋公園'!Y15+'花蓮遊客中心園區'!Y15+'豐濱鄉親不知子海上古道及周邊地區'!Y15</f>
        <v>230971</v>
      </c>
      <c r="Z15" s="83">
        <f>'綠島遊憩區'!Z15+'東部海岸富岡地質公園及加路蘭休憩區'!Z15+'水往上流遊憩區(113年起停計)'!Z15+'都歷處本部'!Z15+'三仙台遊憩區及周邊地區'!Z15+'八仙洞遊憩區'!Z15+'秀姑巒溪遊客中心園區'!Z15+'石梯坪遊憩區'!Z15+'磯崎海濱遊憩區(113年起停計)'!Z15+'花蓮海洋公園'!Z15+'花蓮遊客中心園區'!Z15+'豐濱鄉親不知子海上古道及周邊地區'!Z15</f>
        <v>330016</v>
      </c>
      <c r="AA15" s="83">
        <f>'綠島遊憩區'!AA15+'東部海岸富岡地質公園及加路蘭休憩區'!AA15+'水往上流遊憩區(113年起停計)'!AA15+'都歷處本部'!AA15+'三仙台遊憩區及周邊地區'!AA15+'八仙洞遊憩區'!AA15+'秀姑巒溪遊客中心園區'!AA15+'石梯坪遊憩區'!AA15+'磯崎海濱遊憩區(113年起停計)'!AA15+'花蓮海洋公園'!AA15+'花蓮遊客中心園區'!AA15+'豐濱鄉親不知子海上古道及周邊地區'!AA15</f>
        <v>367545</v>
      </c>
      <c r="AB15" s="83">
        <f>'綠島遊憩區'!AB15+'東部海岸富岡地質公園及加路蘭休憩區'!AB15+'水往上流遊憩區(113年起停計)'!AB15+'都歷處本部'!AB15+'三仙台遊憩區及周邊地區'!AB15+'八仙洞遊憩區'!AB15+'秀姑巒溪遊客中心園區'!AB15+'石梯坪遊憩區'!AB15+'磯崎海濱遊憩區(113年起停計)'!AB15+'花蓮海洋公園'!AB15+'花蓮遊客中心園區'!AB15+'豐濱鄉親不知子海上古道及周邊地區'!AB15</f>
        <v>224376</v>
      </c>
      <c r="AC15" s="83">
        <f>'綠島遊憩區'!AC15+'東部海岸富岡地質公園及加路蘭休憩區'!AC15+'水往上流遊憩區(113年起停計)'!AC15+'都歷處本部'!AC15+'三仙台遊憩區及周邊地區'!AC15+'八仙洞遊憩區'!AC15+'秀姑巒溪遊客中心園區'!AC15+'石梯坪遊憩區'!AC15+'磯崎海濱遊憩區(113年起停計)'!AC15+'花蓮海洋公園'!AC15+'花蓮遊客中心園區'!AC15+'豐濱鄉親不知子海上古道及周邊地區'!AC15</f>
        <v>208832</v>
      </c>
      <c r="AD15" s="83">
        <f>'綠島遊憩區'!AD15+'東部海岸富岡地質公園及加路蘭休憩區'!AD15+'水往上流遊憩區(113年起停計)'!AD15+'都歷處本部'!AD15+'三仙台遊憩區及周邊地區'!AD15+'八仙洞遊憩區'!AD15+'秀姑巒溪遊客中心園區'!AD15+'石梯坪遊憩區'!AD15+'磯崎海濱遊憩區(113年起停計)'!AD15+'花蓮海洋公園'!AD15+'花蓮遊客中心園區'!AD15+'豐濱鄉親不知子海上古道及周邊地區'!AD15</f>
        <v>236819</v>
      </c>
      <c r="AE15" s="83">
        <f>'綠島遊憩區'!AE15+'東部海岸富岡地質公園及加路蘭休憩區'!AE15+'水往上流遊憩區(113年起停計)'!AE15+'都歷處本部'!AE15+'三仙台遊憩區及周邊地區'!AE15+'八仙洞遊憩區'!AE15+'秀姑巒溪遊客中心園區'!AE15+'石梯坪遊憩區'!AE15+'磯崎海濱遊憩區(113年起停計)'!AE15+'花蓮海洋公園'!AE15+'花蓮遊客中心園區'!AE15+'豐濱鄉親不知子海上古道及周邊地區'!AE15</f>
        <v>193210</v>
      </c>
      <c r="AF15" s="83">
        <f>'綠島遊憩區'!AF15+'東部海岸富岡地質公園及加路蘭休憩區'!AF15+'水往上流遊憩區(113年起停計)'!AF15+'都歷處本部'!AF15+'三仙台遊憩區及周邊地區'!AF15+'八仙洞遊憩區'!AF15+'秀姑巒溪遊客中心園區'!AF15+'石梯坪遊憩區'!AF15+'磯崎海濱遊憩區(113年起停計)'!AF15+'花蓮海洋公園'!AF15+'花蓮遊客中心園區'!AF15+'豐濱鄉親不知子海上古道及周邊地區'!AF15</f>
        <v>224346.69</v>
      </c>
      <c r="AG15" s="83">
        <f>'綠島遊憩區'!AG15+'東部海岸富岡地質公園及加路蘭休憩區'!AG15+'水往上流遊憩區(113年起停計)'!AG15+'都歷處本部'!AG15+'三仙台遊憩區及周邊地區'!AG15+'八仙洞遊憩區'!AG15+'秀姑巒溪遊客中心園區'!AG15+'石梯坪遊憩區'!AG15+'磯崎海濱遊憩區(113年起停計)'!AG15+'花蓮海洋公園'!AG15+'花蓮遊客中心園區'!AG15+'豐濱鄉親不知子海上古道及周邊地區'!AG15</f>
        <v>321272</v>
      </c>
      <c r="AH15" s="83">
        <f>'綠島遊憩區'!AH15+'東部海岸富岡地質公園及加路蘭休憩區'!AH15+'水往上流遊憩區(113年起停計)'!AH15+'都歷處本部'!AH15+'三仙台遊憩區及周邊地區'!AH15+'八仙洞遊憩區'!AH15+'秀姑巒溪遊客中心園區'!AH15+'石梯坪遊憩區'!AH15+'磯崎海濱遊憩區(113年起停計)'!AH15+'花蓮海洋公園'!AH15+'花蓮遊客中心園區'!AH15+'豐濱鄉親不知子海上古道及周邊地區'!AH15</f>
        <v>260473</v>
      </c>
      <c r="AI15" s="83">
        <f>'綠島遊憩區'!AI15+'東部海岸富岡地質公園及加路蘭休憩區'!AI15+'水往上流遊憩區(113年起停計)'!AI15+'都歷處本部'!AI15+'三仙台遊憩區及周邊地區'!AI15+'八仙洞遊憩區'!AI15+'秀姑巒溪遊客中心園區'!AI15+'石梯坪遊憩區'!AI15+'磯崎海濱遊憩區(113年起停計)'!AI15+'花蓮海洋公園'!AI15+'花蓮遊客中心園區'!AI15+'豐濱鄉親不知子海上古道及周邊地區'!AI15</f>
        <v>204371</v>
      </c>
      <c r="AJ15" s="83">
        <f>'綠島遊憩區'!AJ15+'東部海岸富岡地質公園及加路蘭休憩區'!AJ15+'水往上流遊憩區(113年起停計)'!AJ15+'都歷處本部'!AJ15+'三仙台遊憩區及周邊地區'!AJ15+'八仙洞遊憩區'!AJ15+'秀姑巒溪遊客中心園區'!AJ15+'石梯坪遊憩區'!AJ15+'磯崎海濱遊憩區(113年起停計)'!AJ15+'花蓮海洋公園'!AJ15+'花蓮遊客中心園區'!AJ15+'豐濱鄉親不知子海上古道及周邊地區'!AJ15</f>
        <v>208195</v>
      </c>
      <c r="AK15" s="83">
        <f>'綠島遊憩區'!AK15+'東部海岸富岡地質公園及加路蘭休憩區'!AK15+'都蘭遊憩區及周邊地區'!AK15+'都歷處本部'!AK15+'三仙台遊憩區及周邊地區'!AK15+'八仙洞遊憩區'!AK15+'秀姑巒溪遊客中心園區'!AK15+'石梯坪遊憩區'!AK15+'磯崎海濱遊憩區(113年起停計)'!AK15+'花蓮海洋公園'!AK15+'花蓮遊客中心園區'!AK15+'豐濱鄉親不知子海上古道及周邊地區'!AK15</f>
        <v>602566</v>
      </c>
      <c r="AL15" s="83">
        <f>'綠島遊憩區'!AL15+'東部海岸富岡地質公園及加路蘭休憩區'!AL15+'都蘭遊憩區及周邊地區'!AL15+'都歷處本部'!AL15+'三仙台遊憩區及周邊地區'!AL15+'八仙洞遊憩區'!AL15+'秀姑巒溪遊客中心園區'!AL15+'石梯坪遊憩區'!AL15+'磯崎海濱遊憩區(113年起停計)'!AL15+'花蓮海洋公園'!AL15+'花蓮遊客中心園區'!AL15+'豐濱鄉親不知子海上古道及周邊地區'!AL15</f>
        <v>511872</v>
      </c>
      <c r="AM15" s="83">
        <f>'綠島遊憩區'!AM15+'東部海岸富岡地質公園及加路蘭休憩區'!AM15+'都蘭遊憩區及周邊地區'!AM15+'都歷處本部'!AM15+'三仙台遊憩區及周邊地區'!AM15+'八仙洞遊憩區'!AM15+'秀姑巒溪遊客中心園區'!AM15+'石梯坪遊憩區'!AM15+'磯崎海濱遊憩區(113年起停計)'!AM15+'花蓮海洋公園'!AM15+'花蓮遊客中心園區'!AM15+'豐濱鄉親不知子海上古道及周邊地區'!AM15</f>
        <v>0</v>
      </c>
      <c r="AN15" s="83">
        <f>'綠島遊憩區'!AN15+'東部海岸富岡地質公園及加路蘭休憩區'!AN15+'都蘭遊憩區及周邊地區'!AN15+'都歷處本部'!AN15+'三仙台遊憩區及周邊地區'!AN15+'八仙洞遊憩區'!AN15+'秀姑巒溪遊客中心園區'!AN15+'石梯坪遊憩區'!AN15+'磯崎海濱遊憩區(113年起停計)'!AN15+'花蓮海洋公園'!AN15+'花蓮遊客中心園區'!AN15+'豐濱鄉親不知子海上古道及周邊地區'!AN15</f>
        <v>0</v>
      </c>
      <c r="AO15" s="83">
        <f>'綠島遊憩區'!AO15+'東部海岸富岡地質公園及加路蘭休憩區'!AO15+'都蘭遊憩區及周邊地區'!AO15+'都歷處本部'!AO15+'三仙台遊憩區及周邊地區'!AO15+'八仙洞遊憩區'!AO15+'秀姑巒溪遊客中心園區'!AO15+'石梯坪遊憩區'!AO15+'磯崎海濱遊憩區(113年起停計)'!AO15+'花蓮海洋公園'!AO15+'花蓮遊客中心園區'!AO15+'豐濱鄉親不知子海上古道及周邊地區'!AO15</f>
        <v>0</v>
      </c>
      <c r="AP15" s="83">
        <f>'綠島遊憩區'!AP15+'東部海岸富岡地質公園及加路蘭休憩區'!AP15+'都蘭遊憩區及周邊地區'!AP15+'都歷處本部'!AP15+'三仙台遊憩區及周邊地區'!AP15+'八仙洞遊憩區'!AP15+'秀姑巒溪遊客中心園區'!AP15+'石梯坪遊憩區'!AP15+'磯崎海濱遊憩區(113年起停計)'!AP15+'花蓮海洋公園'!AP15+'花蓮遊客中心園區'!AP15+'豐濱鄉親不知子海上古道及周邊地區'!AP15</f>
        <v>0</v>
      </c>
      <c r="AQ15" s="83">
        <f>'綠島遊憩區'!AQ15+'東部海岸富岡地質公園及加路蘭休憩區'!AQ15+'都蘭遊憩區及周邊地區'!AQ15+'都歷處本部'!AQ15+'三仙台遊憩區及周邊地區'!AQ15+'八仙洞遊憩區'!AQ15+'秀姑巒溪遊客中心園區'!AQ15+'石梯坪遊憩區'!AQ15+'磯崎海濱遊憩區(113年起停計)'!AQ15+'花蓮海洋公園'!AQ15+'花蓮遊客中心園區'!AQ15+'豐濱鄉親不知子海上古道及周邊地區'!AQ15</f>
        <v>0</v>
      </c>
      <c r="AR15" s="84">
        <f>'綠島遊憩區'!AR15+'東部海岸富岡地質公園及加路蘭休憩區'!AR15+'都蘭遊憩區及周邊地區'!AR15+'都歷處本部'!AR15+'三仙台遊憩區及周邊地區'!AR15+'八仙洞遊憩區'!AR15+'秀姑巒溪遊客中心園區'!AR15+'石梯坪遊憩區'!AR15+'磯崎海濱遊憩區(113年起停計)'!AR15+'花蓮海洋公園'!AR15+'花蓮遊客中心園區'!AR15+'豐濱鄉親不知子海上古道及周邊地區'!AR15</f>
        <v>0</v>
      </c>
    </row>
    <row r="16" ht="15.75" customHeight="1">
      <c r="A16" s="85">
        <v>12.0</v>
      </c>
      <c r="B16" s="83">
        <f>'綠島遊憩區'!B16+'東部海岸富岡地質公園及加路蘭休憩區'!B16+'水往上流遊憩區(113年起停計)'!B16+'都歷處本部'!B16+'三仙台遊憩區及周邊地區'!B16+'八仙洞遊憩區'!B16+'秀姑巒溪遊客中心園區'!B16+'石梯坪遊憩區'!B16+'磯崎海濱遊憩區(113年起停計)'!B16+'花蓮海洋公園'!B16+'花蓮遊客中心園區'!B16+'豐濱鄉親不知子海上古道及周邊地區'!B16</f>
        <v>86</v>
      </c>
      <c r="C16" s="83">
        <f>'綠島遊憩區'!C16+'東部海岸富岡地質公園及加路蘭休憩區'!C16+'水往上流遊憩區(113年起停計)'!C16+'都歷處本部'!C16+'三仙台遊憩區及周邊地區'!C16+'八仙洞遊憩區'!C16+'秀姑巒溪遊客中心園區'!C16+'石梯坪遊憩區'!C16+'磯崎海濱遊憩區(113年起停計)'!C16+'花蓮海洋公園'!C16+'花蓮遊客中心園區'!C16+'豐濱鄉親不知子海上古道及周邊地區'!C16</f>
        <v>36</v>
      </c>
      <c r="D16" s="83">
        <f>'綠島遊憩區'!D16+'東部海岸富岡地質公園及加路蘭休憩區'!D16+'水往上流遊憩區(113年起停計)'!D16+'都歷處本部'!D16+'三仙台遊憩區及周邊地區'!D16+'八仙洞遊憩區'!D16+'秀姑巒溪遊客中心園區'!D16+'石梯坪遊憩區'!D16+'磯崎海濱遊憩區(113年起停計)'!D16+'花蓮海洋公園'!D16+'花蓮遊客中心園區'!D16+'豐濱鄉親不知子海上古道及周邊地區'!D16</f>
        <v>23</v>
      </c>
      <c r="E16" s="83">
        <f>'綠島遊憩區'!E16+'東部海岸富岡地質公園及加路蘭休憩區'!E16+'水往上流遊憩區(113年起停計)'!E16+'都歷處本部'!E16+'三仙台遊憩區及周邊地區'!E16+'八仙洞遊憩區'!E16+'秀姑巒溪遊客中心園區'!E16+'石梯坪遊憩區'!E16+'磯崎海濱遊憩區(113年起停計)'!E16+'花蓮海洋公園'!E16+'花蓮遊客中心園區'!E16+'豐濱鄉親不知子海上古道及周邊地區'!E16</f>
        <v>75</v>
      </c>
      <c r="F16" s="83">
        <f>'綠島遊憩區'!F16+'東部海岸富岡地質公園及加路蘭休憩區'!F16+'水往上流遊憩區(113年起停計)'!F16+'都歷處本部'!F16+'三仙台遊憩區及周邊地區'!F16+'八仙洞遊憩區'!F16+'秀姑巒溪遊客中心園區'!F16+'石梯坪遊憩區'!F16+'磯崎海濱遊憩區(113年起停計)'!F16+'花蓮海洋公園'!F16+'花蓮遊客中心園區'!F16+'豐濱鄉親不知子海上古道及周邊地區'!F16</f>
        <v>4</v>
      </c>
      <c r="G16" s="83">
        <f>'綠島遊憩區'!G16+'東部海岸富岡地質公園及加路蘭休憩區'!G16+'水往上流遊憩區(113年起停計)'!G16+'都歷處本部'!G16+'三仙台遊憩區及周邊地區'!G16+'八仙洞遊憩區'!G16+'秀姑巒溪遊客中心園區'!G16+'石梯坪遊憩區'!G16+'磯崎海濱遊憩區(113年起停計)'!G16+'花蓮海洋公園'!G16+'花蓮遊客中心園區'!G16+'豐濱鄉親不知子海上古道及周邊地區'!G16</f>
        <v>11</v>
      </c>
      <c r="H16" s="83">
        <f>'綠島遊憩區'!H16+'東部海岸富岡地質公園及加路蘭休憩區'!H16+'水往上流遊憩區(113年起停計)'!H16+'都歷處本部'!H16+'三仙台遊憩區及周邊地區'!H16+'八仙洞遊憩區'!H16+'秀姑巒溪遊客中心園區'!H16+'石梯坪遊憩區'!H16+'磯崎海濱遊憩區(113年起停計)'!H16+'花蓮海洋公園'!H16+'花蓮遊客中心園區'!H16+'豐濱鄉親不知子海上古道及周邊地區'!H16</f>
        <v>26</v>
      </c>
      <c r="I16" s="83">
        <f>'綠島遊憩區'!I16+'東部海岸富岡地質公園及加路蘭休憩區'!I16+'水往上流遊憩區(113年起停計)'!I16+'都歷處本部'!I16+'三仙台遊憩區及周邊地區'!I16+'八仙洞遊憩區'!I16+'秀姑巒溪遊客中心園區'!I16+'石梯坪遊憩區'!I16+'磯崎海濱遊憩區(113年起停計)'!I16+'花蓮海洋公園'!I16+'花蓮遊客中心園區'!I16+'豐濱鄉親不知子海上古道及周邊地區'!I16</f>
        <v>29</v>
      </c>
      <c r="J16" s="83">
        <f>'綠島遊憩區'!J16+'東部海岸富岡地質公園及加路蘭休憩區'!J16+'水往上流遊憩區(113年起停計)'!J16+'都歷處本部'!J16+'三仙台遊憩區及周邊地區'!J16+'八仙洞遊憩區'!J16+'秀姑巒溪遊客中心園區'!J16+'石梯坪遊憩區'!J16+'磯崎海濱遊憩區(113年起停計)'!J16+'花蓮海洋公園'!J16+'花蓮遊客中心園區'!J16+'豐濱鄉親不知子海上古道及周邊地區'!J16</f>
        <v>139</v>
      </c>
      <c r="K16" s="83">
        <f>'綠島遊憩區'!K16+'東部海岸富岡地質公園及加路蘭休憩區'!K16+'水往上流遊憩區(113年起停計)'!K16+'都歷處本部'!K16+'三仙台遊憩區及周邊地區'!K16+'八仙洞遊憩區'!K16+'秀姑巒溪遊客中心園區'!K16+'石梯坪遊憩區'!K16+'磯崎海濱遊憩區(113年起停計)'!K16+'花蓮海洋公園'!K16+'花蓮遊客中心園區'!K16+'豐濱鄉親不知子海上古道及周邊地區'!K16</f>
        <v>10171</v>
      </c>
      <c r="L16" s="83">
        <f>'綠島遊憩區'!L16+'東部海岸富岡地質公園及加路蘭休憩區'!L16+'水往上流遊憩區(113年起停計)'!L16+'都歷處本部'!L16+'三仙台遊憩區及周邊地區'!L16+'八仙洞遊憩區'!L16+'秀姑巒溪遊客中心園區'!L16+'石梯坪遊憩區'!L16+'磯崎海濱遊憩區(113年起停計)'!L16+'花蓮海洋公園'!L16+'花蓮遊客中心園區'!L16+'豐濱鄉親不知子海上古道及周邊地區'!L16</f>
        <v>3838</v>
      </c>
      <c r="M16" s="83">
        <f>'綠島遊憩區'!M16+'東部海岸富岡地質公園及加路蘭休憩區'!M16+'水往上流遊憩區(113年起停計)'!M16+'都歷處本部'!M16+'三仙台遊憩區及周邊地區'!M16+'八仙洞遊憩區'!M16+'秀姑巒溪遊客中心園區'!M16+'石梯坪遊憩區'!M16+'磯崎海濱遊憩區(113年起停計)'!M16+'花蓮海洋公園'!M16+'花蓮遊客中心園區'!M16+'豐濱鄉親不知子海上古道及周邊地區'!M16</f>
        <v>179053</v>
      </c>
      <c r="N16" s="83">
        <f>'綠島遊憩區'!N16+'東部海岸富岡地質公園及加路蘭休憩區'!N16+'水往上流遊憩區(113年起停計)'!N16+'都歷處本部'!N16+'三仙台遊憩區及周邊地區'!N16+'八仙洞遊憩區'!N16+'秀姑巒溪遊客中心園區'!N16+'石梯坪遊憩區'!N16+'磯崎海濱遊憩區(113年起停計)'!N16+'花蓮海洋公園'!N16+'花蓮遊客中心園區'!N16+'豐濱鄉親不知子海上古道及周邊地區'!N16</f>
        <v>136264</v>
      </c>
      <c r="O16" s="83">
        <f>'綠島遊憩區'!O16+'東部海岸富岡地質公園及加路蘭休憩區'!O16+'水往上流遊憩區(113年起停計)'!O16+'都歷處本部'!O16+'三仙台遊憩區及周邊地區'!O16+'八仙洞遊憩區'!O16+'秀姑巒溪遊客中心園區'!O16+'石梯坪遊憩區'!O16+'磯崎海濱遊憩區(113年起停計)'!O16+'花蓮海洋公園'!O16+'花蓮遊客中心園區'!O16+'豐濱鄉親不知子海上古道及周邊地區'!O16</f>
        <v>117308</v>
      </c>
      <c r="P16" s="83">
        <f>'綠島遊憩區'!P16+'東部海岸富岡地質公園及加路蘭休憩區'!P16+'水往上流遊憩區(113年起停計)'!P16+'都歷處本部'!P16+'三仙台遊憩區及周邊地區'!P16+'八仙洞遊憩區'!P16+'秀姑巒溪遊客中心園區'!P16+'石梯坪遊憩區'!P16+'磯崎海濱遊憩區(113年起停計)'!P16+'花蓮海洋公園'!P16+'花蓮遊客中心園區'!P16+'豐濱鄉親不知子海上古道及周邊地區'!P16</f>
        <v>165532</v>
      </c>
      <c r="Q16" s="83">
        <f>'綠島遊憩區'!Q16+'東部海岸富岡地質公園及加路蘭休憩區'!Q16+'水往上流遊憩區(113年起停計)'!Q16+'都歷處本部'!Q16+'三仙台遊憩區及周邊地區'!Q16+'八仙洞遊憩區'!Q16+'秀姑巒溪遊客中心園區'!Q16+'石梯坪遊憩區'!Q16+'磯崎海濱遊憩區(113年起停計)'!Q16+'花蓮海洋公園'!Q16+'花蓮遊客中心園區'!Q16+'豐濱鄉親不知子海上古道及周邊地區'!Q16</f>
        <v>152914</v>
      </c>
      <c r="R16" s="83">
        <f>'綠島遊憩區'!R16+'東部海岸富岡地質公園及加路蘭休憩區'!R16+'水往上流遊憩區(113年起停計)'!R16+'都歷處本部'!R16+'三仙台遊憩區及周邊地區'!R16+'八仙洞遊憩區'!R16+'秀姑巒溪遊客中心園區'!R16+'石梯坪遊憩區'!R16+'磯崎海濱遊憩區(113年起停計)'!R16+'花蓮海洋公園'!R16+'花蓮遊客中心園區'!R16+'豐濱鄉親不知子海上古道及周邊地區'!R16</f>
        <v>156798</v>
      </c>
      <c r="S16" s="83">
        <f>'綠島遊憩區'!S16+'東部海岸富岡地質公園及加路蘭休憩區'!S16+'水往上流遊憩區(113年起停計)'!S16+'都歷處本部'!S16+'三仙台遊憩區及周邊地區'!S16+'八仙洞遊憩區'!S16+'秀姑巒溪遊客中心園區'!S16+'石梯坪遊憩區'!S16+'磯崎海濱遊憩區(113年起停計)'!S16+'花蓮海洋公園'!S16+'花蓮遊客中心園區'!S16+'豐濱鄉親不知子海上古道及周邊地區'!S16</f>
        <v>166110</v>
      </c>
      <c r="T16" s="83">
        <f>'綠島遊憩區'!T16+'東部海岸富岡地質公園及加路蘭休憩區'!T16+'水往上流遊憩區(113年起停計)'!T16+'都歷處本部'!T16+'三仙台遊憩區及周邊地區'!T16+'八仙洞遊憩區'!T16+'秀姑巒溪遊客中心園區'!T16+'石梯坪遊憩區'!T16+'磯崎海濱遊憩區(113年起停計)'!T16+'花蓮海洋公園'!T16+'花蓮遊客中心園區'!T16+'豐濱鄉親不知子海上古道及周邊地區'!T16</f>
        <v>147910</v>
      </c>
      <c r="U16" s="83">
        <f>'綠島遊憩區'!U16+'東部海岸富岡地質公園及加路蘭休憩區'!U16+'水往上流遊憩區(113年起停計)'!U16+'都歷處本部'!U16+'三仙台遊憩區及周邊地區'!U16+'八仙洞遊憩區'!U16+'秀姑巒溪遊客中心園區'!U16+'石梯坪遊憩區'!U16+'磯崎海濱遊憩區(113年起停計)'!U16+'花蓮海洋公園'!U16+'花蓮遊客中心園區'!U16+'豐濱鄉親不知子海上古道及周邊地區'!U16</f>
        <v>127074</v>
      </c>
      <c r="V16" s="83">
        <f>'綠島遊憩區'!V16+'東部海岸富岡地質公園及加路蘭休憩區'!V16+'水往上流遊憩區(113年起停計)'!V16+'都歷處本部'!V16+'三仙台遊憩區及周邊地區'!V16+'八仙洞遊憩區'!V16+'秀姑巒溪遊客中心園區'!V16+'石梯坪遊憩區'!V16+'磯崎海濱遊憩區(113年起停計)'!V16+'花蓮海洋公園'!V16+'花蓮遊客中心園區'!V16+'豐濱鄉親不知子海上古道及周邊地區'!V16</f>
        <v>143259</v>
      </c>
      <c r="W16" s="83">
        <f>'綠島遊憩區'!W16+'東部海岸富岡地質公園及加路蘭休憩區'!W16+'水往上流遊憩區(113年起停計)'!W16+'都歷處本部'!W16+'三仙台遊憩區及周邊地區'!W16+'八仙洞遊憩區'!W16+'秀姑巒溪遊客中心園區'!W16+'石梯坪遊憩區'!W16+'磯崎海濱遊憩區(113年起停計)'!W16+'花蓮海洋公園'!W16+'花蓮遊客中心園區'!W16+'豐濱鄉親不知子海上古道及周邊地區'!W16</f>
        <v>190802</v>
      </c>
      <c r="X16" s="83">
        <f>'綠島遊憩區'!X16+'東部海岸富岡地質公園及加路蘭休憩區'!X16+'水往上流遊憩區(113年起停計)'!X16+'都歷處本部'!X16+'三仙台遊憩區及周邊地區'!X16+'八仙洞遊憩區'!X16+'秀姑巒溪遊客中心園區'!X16+'石梯坪遊憩區'!X16+'磯崎海濱遊憩區(113年起停計)'!X16+'花蓮海洋公園'!X16+'花蓮遊客中心園區'!X16+'豐濱鄉親不知子海上古道及周邊地區'!X16</f>
        <v>224312</v>
      </c>
      <c r="Y16" s="83">
        <f>'綠島遊憩區'!Y16+'東部海岸富岡地質公園及加路蘭休憩區'!Y16+'水往上流遊憩區(113年起停計)'!Y16+'都歷處本部'!Y16+'三仙台遊憩區及周邊地區'!Y16+'八仙洞遊憩區'!Y16+'秀姑巒溪遊客中心園區'!Y16+'石梯坪遊憩區'!Y16+'磯崎海濱遊憩區(113年起停計)'!Y16+'花蓮海洋公園'!Y16+'花蓮遊客中心園區'!Y16+'豐濱鄉親不知子海上古道及周邊地區'!Y16</f>
        <v>216661</v>
      </c>
      <c r="Z16" s="83">
        <f>'綠島遊憩區'!Z16+'東部海岸富岡地質公園及加路蘭休憩區'!Z16+'水往上流遊憩區(113年起停計)'!Z16+'都歷處本部'!Z16+'三仙台遊憩區及周邊地區'!Z16+'八仙洞遊憩區'!Z16+'秀姑巒溪遊客中心園區'!Z16+'石梯坪遊憩區'!Z16+'磯崎海濱遊憩區(113年起停計)'!Z16+'花蓮海洋公園'!Z16+'花蓮遊客中心園區'!Z16+'豐濱鄉親不知子海上古道及周邊地區'!Z16</f>
        <v>316272</v>
      </c>
      <c r="AA16" s="83">
        <f>'綠島遊憩區'!AA16+'東部海岸富岡地質公園及加路蘭休憩區'!AA16+'水往上流遊憩區(113年起停計)'!AA16+'都歷處本部'!AA16+'三仙台遊憩區及周邊地區'!AA16+'八仙洞遊憩區'!AA16+'秀姑巒溪遊客中心園區'!AA16+'石梯坪遊憩區'!AA16+'磯崎海濱遊憩區(113年起停計)'!AA16+'花蓮海洋公園'!AA16+'花蓮遊客中心園區'!AA16+'豐濱鄉親不知子海上古道及周邊地區'!AA16</f>
        <v>370898</v>
      </c>
      <c r="AB16" s="83">
        <f>'綠島遊憩區'!AB16+'東部海岸富岡地質公園及加路蘭休憩區'!AB16+'水往上流遊憩區(113年起停計)'!AB16+'都歷處本部'!AB16+'三仙台遊憩區及周邊地區'!AB16+'八仙洞遊憩區'!AB16+'秀姑巒溪遊客中心園區'!AB16+'石梯坪遊憩區'!AB16+'磯崎海濱遊憩區(113年起停計)'!AB16+'花蓮海洋公園'!AB16+'花蓮遊客中心園區'!AB16+'豐濱鄉親不知子海上古道及周邊地區'!AB16</f>
        <v>148413</v>
      </c>
      <c r="AC16" s="83">
        <f>'綠島遊憩區'!AC16+'東部海岸富岡地質公園及加路蘭休憩區'!AC16+'水往上流遊憩區(113年起停計)'!AC16+'都歷處本部'!AC16+'三仙台遊憩區及周邊地區'!AC16+'八仙洞遊憩區'!AC16+'秀姑巒溪遊客中心園區'!AC16+'石梯坪遊憩區'!AC16+'磯崎海濱遊憩區(113年起停計)'!AC16+'花蓮海洋公園'!AC16+'花蓮遊客中心園區'!AC16+'豐濱鄉親不知子海上古道及周邊地區'!AC16</f>
        <v>216294</v>
      </c>
      <c r="AD16" s="83">
        <f>'綠島遊憩區'!AD16+'東部海岸富岡地質公園及加路蘭休憩區'!AD16+'水往上流遊憩區(113年起停計)'!AD16+'都歷處本部'!AD16+'三仙台遊憩區及周邊地區'!AD16+'八仙洞遊憩區'!AD16+'秀姑巒溪遊客中心園區'!AD16+'石梯坪遊憩區'!AD16+'磯崎海濱遊憩區(113年起停計)'!AD16+'花蓮海洋公園'!AD16+'花蓮遊客中心園區'!AD16+'豐濱鄉親不知子海上古道及周邊地區'!AD16</f>
        <v>241927</v>
      </c>
      <c r="AE16" s="83">
        <f>'綠島遊憩區'!AE16+'東部海岸富岡地質公園及加路蘭休憩區'!AE16+'水往上流遊憩區(113年起停計)'!AE16+'都歷處本部'!AE16+'三仙台遊憩區及周邊地區'!AE16+'八仙洞遊憩區'!AE16+'秀姑巒溪遊客中心園區'!AE16+'石梯坪遊憩區'!AE16+'磯崎海濱遊憩區(113年起停計)'!AE16+'花蓮海洋公園'!AE16+'花蓮遊客中心園區'!AE16+'豐濱鄉親不知子海上古道及周邊地區'!AE16</f>
        <v>293694</v>
      </c>
      <c r="AF16" s="83">
        <f>'綠島遊憩區'!AF16+'東部海岸富岡地質公園及加路蘭休憩區'!AF16+'水往上流遊憩區(113年起停計)'!AF16+'都歷處本部'!AF16+'三仙台遊憩區及周邊地區'!AF16+'八仙洞遊憩區'!AF16+'秀姑巒溪遊客中心園區'!AF16+'石梯坪遊憩區'!AF16+'磯崎海濱遊憩區(113年起停計)'!AF16+'花蓮海洋公園'!AF16+'花蓮遊客中心園區'!AF16+'豐濱鄉親不知子海上古道及周邊地區'!AF16</f>
        <v>206798</v>
      </c>
      <c r="AG16" s="83">
        <f>'綠島遊憩區'!AG16+'東部海岸富岡地質公園及加路蘭休憩區'!AG16+'水往上流遊憩區(113年起停計)'!AG16+'都歷處本部'!AG16+'三仙台遊憩區及周邊地區'!AG16+'八仙洞遊憩區'!AG16+'秀姑巒溪遊客中心園區'!AG16+'石梯坪遊憩區'!AG16+'磯崎海濱遊憩區(113年起停計)'!AG16+'花蓮海洋公園'!AG16+'花蓮遊客中心園區'!AG16+'豐濱鄉親不知子海上古道及周邊地區'!AG16</f>
        <v>219185</v>
      </c>
      <c r="AH16" s="83">
        <f>'綠島遊憩區'!AH16+'東部海岸富岡地質公園及加路蘭休憩區'!AH16+'水往上流遊憩區(113年起停計)'!AH16+'都歷處本部'!AH16+'三仙台遊憩區及周邊地區'!AH16+'八仙洞遊憩區'!AH16+'秀姑巒溪遊客中心園區'!AH16+'石梯坪遊憩區'!AH16+'磯崎海濱遊憩區(113年起停計)'!AH16+'花蓮海洋公園'!AH16+'花蓮遊客中心園區'!AH16+'豐濱鄉親不知子海上古道及周邊地區'!AH16</f>
        <v>262760</v>
      </c>
      <c r="AI16" s="83">
        <f>'綠島遊憩區'!AI16+'東部海岸富岡地質公園及加路蘭休憩區'!AI16+'水往上流遊憩區(113年起停計)'!AI16+'都歷處本部'!AI16+'三仙台遊憩區及周邊地區'!AI16+'八仙洞遊憩區'!AI16+'秀姑巒溪遊客中心園區'!AI16+'石梯坪遊憩區'!AI16+'磯崎海濱遊憩區(113年起停計)'!AI16+'花蓮海洋公園'!AI16+'花蓮遊客中心園區'!AI16+'豐濱鄉親不知子海上古道及周邊地區'!AI16</f>
        <v>264561</v>
      </c>
      <c r="AJ16" s="83">
        <f>'綠島遊憩區'!AJ16+'東部海岸富岡地質公園及加路蘭休憩區'!AJ16+'水往上流遊憩區(113年起停計)'!AJ16+'都歷處本部'!AJ16+'三仙台遊憩區及周邊地區'!AJ16+'八仙洞遊憩區'!AJ16+'秀姑巒溪遊客中心園區'!AJ16+'石梯坪遊憩區'!AJ16+'磯崎海濱遊憩區(113年起停計)'!AJ16+'花蓮海洋公園'!AJ16+'花蓮遊客中心園區'!AJ16+'豐濱鄉親不知子海上古道及周邊地區'!AJ16</f>
        <v>206007</v>
      </c>
      <c r="AK16" s="83">
        <f>'綠島遊憩區'!AK16+'東部海岸富岡地質公園及加路蘭休憩區'!AK16+'都蘭遊憩區及周邊地區'!AK16+'都歷處本部'!AK16+'三仙台遊憩區及周邊地區'!AK16+'八仙洞遊憩區'!AK16+'秀姑巒溪遊客中心園區'!AK16+'石梯坪遊憩區'!AK16+'磯崎海濱遊憩區(113年起停計)'!AK16+'花蓮海洋公園'!AK16+'花蓮遊客中心園區'!AK16+'豐濱鄉親不知子海上古道及周邊地區'!AK16</f>
        <v>538355</v>
      </c>
      <c r="AL16" s="83">
        <f>'綠島遊憩區'!AL16+'東部海岸富岡地質公園及加路蘭休憩區'!AL16+'都蘭遊憩區及周邊地區'!AL16+'都歷處本部'!AL16+'三仙台遊憩區及周邊地區'!AL16+'八仙洞遊憩區'!AL16+'秀姑巒溪遊客中心園區'!AL16+'石梯坪遊憩區'!AL16+'磯崎海濱遊憩區(113年起停計)'!AL16+'花蓮海洋公園'!AL16+'花蓮遊客中心園區'!AL16+'豐濱鄉親不知子海上古道及周邊地區'!AL16</f>
        <v>538627</v>
      </c>
      <c r="AM16" s="83">
        <f>'綠島遊憩區'!AM16+'東部海岸富岡地質公園及加路蘭休憩區'!AM16+'都蘭遊憩區及周邊地區'!AM16+'都歷處本部'!AM16+'三仙台遊憩區及周邊地區'!AM16+'八仙洞遊憩區'!AM16+'秀姑巒溪遊客中心園區'!AM16+'石梯坪遊憩區'!AM16+'磯崎海濱遊憩區(113年起停計)'!AM16+'花蓮海洋公園'!AM16+'花蓮遊客中心園區'!AM16+'豐濱鄉親不知子海上古道及周邊地區'!AM16</f>
        <v>0</v>
      </c>
      <c r="AN16" s="83">
        <f>'綠島遊憩區'!AN16+'東部海岸富岡地質公園及加路蘭休憩區'!AN16+'都蘭遊憩區及周邊地區'!AN16+'都歷處本部'!AN16+'三仙台遊憩區及周邊地區'!AN16+'八仙洞遊憩區'!AN16+'秀姑巒溪遊客中心園區'!AN16+'石梯坪遊憩區'!AN16+'磯崎海濱遊憩區(113年起停計)'!AN16+'花蓮海洋公園'!AN16+'花蓮遊客中心園區'!AN16+'豐濱鄉親不知子海上古道及周邊地區'!AN16</f>
        <v>0</v>
      </c>
      <c r="AO16" s="83">
        <f>'綠島遊憩區'!AO16+'東部海岸富岡地質公園及加路蘭休憩區'!AO16+'都蘭遊憩區及周邊地區'!AO16+'都歷處本部'!AO16+'三仙台遊憩區及周邊地區'!AO16+'八仙洞遊憩區'!AO16+'秀姑巒溪遊客中心園區'!AO16+'石梯坪遊憩區'!AO16+'磯崎海濱遊憩區(113年起停計)'!AO16+'花蓮海洋公園'!AO16+'花蓮遊客中心園區'!AO16+'豐濱鄉親不知子海上古道及周邊地區'!AO16</f>
        <v>0</v>
      </c>
      <c r="AP16" s="83">
        <f>'綠島遊憩區'!AP16+'東部海岸富岡地質公園及加路蘭休憩區'!AP16+'都蘭遊憩區及周邊地區'!AP16+'都歷處本部'!AP16+'三仙台遊憩區及周邊地區'!AP16+'八仙洞遊憩區'!AP16+'秀姑巒溪遊客中心園區'!AP16+'石梯坪遊憩區'!AP16+'磯崎海濱遊憩區(113年起停計)'!AP16+'花蓮海洋公園'!AP16+'花蓮遊客中心園區'!AP16+'豐濱鄉親不知子海上古道及周邊地區'!AP16</f>
        <v>0</v>
      </c>
      <c r="AQ16" s="83">
        <f>'綠島遊憩區'!AQ16+'東部海岸富岡地質公園及加路蘭休憩區'!AQ16+'都蘭遊憩區及周邊地區'!AQ16+'都歷處本部'!AQ16+'三仙台遊憩區及周邊地區'!AQ16+'八仙洞遊憩區'!AQ16+'秀姑巒溪遊客中心園區'!AQ16+'石梯坪遊憩區'!AQ16+'磯崎海濱遊憩區(113年起停計)'!AQ16+'花蓮海洋公園'!AQ16+'花蓮遊客中心園區'!AQ16+'豐濱鄉親不知子海上古道及周邊地區'!AQ16</f>
        <v>0</v>
      </c>
      <c r="AR16" s="84">
        <f>'綠島遊憩區'!AR16+'東部海岸富岡地質公園及加路蘭休憩區'!AR16+'都蘭遊憩區及周邊地區'!AR16+'都歷處本部'!AR16+'三仙台遊憩區及周邊地區'!AR16+'八仙洞遊憩區'!AR16+'秀姑巒溪遊客中心園區'!AR16+'石梯坪遊憩區'!AR16+'磯崎海濱遊憩區(113年起停計)'!AR16+'花蓮海洋公園'!AR16+'花蓮遊客中心園區'!AR16+'豐濱鄉親不知子海上古道及周邊地區'!AR16</f>
        <v>0</v>
      </c>
    </row>
    <row r="17" ht="15.75" customHeight="1">
      <c r="A17" s="86" t="s">
        <v>45</v>
      </c>
      <c r="B17" s="87">
        <f t="shared" ref="B17:AF17" si="1">SUM(B5:B16)</f>
        <v>86533</v>
      </c>
      <c r="C17" s="87">
        <f t="shared" si="1"/>
        <v>74374</v>
      </c>
      <c r="D17" s="87">
        <f t="shared" si="1"/>
        <v>55660</v>
      </c>
      <c r="E17" s="87">
        <f t="shared" si="1"/>
        <v>58001</v>
      </c>
      <c r="F17" s="87">
        <f t="shared" si="1"/>
        <v>60244</v>
      </c>
      <c r="G17" s="87">
        <f t="shared" si="1"/>
        <v>52083</v>
      </c>
      <c r="H17" s="87">
        <f t="shared" si="1"/>
        <v>56712</v>
      </c>
      <c r="I17" s="87">
        <f t="shared" si="1"/>
        <v>55259</v>
      </c>
      <c r="J17" s="87">
        <f t="shared" si="1"/>
        <v>81619</v>
      </c>
      <c r="K17" s="87">
        <f t="shared" si="1"/>
        <v>395357</v>
      </c>
      <c r="L17" s="87">
        <f t="shared" si="1"/>
        <v>383915</v>
      </c>
      <c r="M17" s="87">
        <f t="shared" si="1"/>
        <v>2717413</v>
      </c>
      <c r="N17" s="87">
        <f t="shared" si="1"/>
        <v>2216956</v>
      </c>
      <c r="O17" s="87">
        <f t="shared" si="1"/>
        <v>2188893</v>
      </c>
      <c r="P17" s="87">
        <f t="shared" si="1"/>
        <v>3237777</v>
      </c>
      <c r="Q17" s="87">
        <f t="shared" si="1"/>
        <v>3089213</v>
      </c>
      <c r="R17" s="87">
        <f t="shared" si="1"/>
        <v>3039707</v>
      </c>
      <c r="S17" s="87">
        <f t="shared" si="1"/>
        <v>2933510</v>
      </c>
      <c r="T17" s="87">
        <f t="shared" si="1"/>
        <v>2470906</v>
      </c>
      <c r="U17" s="87">
        <f t="shared" si="1"/>
        <v>2277383</v>
      </c>
      <c r="V17" s="87">
        <f t="shared" si="1"/>
        <v>2519508</v>
      </c>
      <c r="W17" s="87">
        <f t="shared" si="1"/>
        <v>3049144</v>
      </c>
      <c r="X17" s="87">
        <f t="shared" si="1"/>
        <v>2972678</v>
      </c>
      <c r="Y17" s="87">
        <f t="shared" si="1"/>
        <v>3370071.88</v>
      </c>
      <c r="Z17" s="87">
        <f t="shared" si="1"/>
        <v>3941492.1</v>
      </c>
      <c r="AA17" s="87">
        <f t="shared" si="1"/>
        <v>6025961</v>
      </c>
      <c r="AB17" s="87">
        <f t="shared" si="1"/>
        <v>3284747</v>
      </c>
      <c r="AC17" s="87">
        <f t="shared" si="1"/>
        <v>3985190</v>
      </c>
      <c r="AD17" s="87">
        <f t="shared" si="1"/>
        <v>3191276</v>
      </c>
      <c r="AE17" s="87">
        <f t="shared" si="1"/>
        <v>3055693.97</v>
      </c>
      <c r="AF17" s="87">
        <f t="shared" si="1"/>
        <v>3448429.18</v>
      </c>
      <c r="AG17" s="83">
        <f>'綠島遊憩區'!AG17+'東部海岸富岡地質公園及加路蘭休憩區'!AG17+'水往上流遊憩區(113年起停計)'!AG17+'都歷處本部'!AG17+'三仙台遊憩區及周邊地區'!AG17+'八仙洞遊憩區'!AG17+'秀姑巒溪遊客中心園區'!AG17+'石梯坪遊憩區'!AG17+'磯崎海濱遊憩區(113年起停計)'!AG17+'花蓮海洋公園'!AG17+'花蓮遊客中心園區'!AG17+'豐濱鄉親不知子海上古道及周邊地區'!AG17</f>
        <v>4612797</v>
      </c>
      <c r="AH17" s="87">
        <f t="shared" ref="AH17:AR17" si="2">SUM(AH5:AH16)</f>
        <v>2574946</v>
      </c>
      <c r="AI17" s="87">
        <f t="shared" si="2"/>
        <v>3142629</v>
      </c>
      <c r="AJ17" s="87">
        <f t="shared" si="2"/>
        <v>3068940</v>
      </c>
      <c r="AK17" s="87">
        <f t="shared" si="2"/>
        <v>6874008</v>
      </c>
      <c r="AL17" s="87">
        <f t="shared" si="2"/>
        <v>7275649</v>
      </c>
      <c r="AM17" s="87">
        <f t="shared" si="2"/>
        <v>2082435</v>
      </c>
      <c r="AN17" s="87">
        <f t="shared" si="2"/>
        <v>0</v>
      </c>
      <c r="AO17" s="87">
        <f t="shared" si="2"/>
        <v>0</v>
      </c>
      <c r="AP17" s="87">
        <f t="shared" si="2"/>
        <v>0</v>
      </c>
      <c r="AQ17" s="87">
        <f t="shared" si="2"/>
        <v>0</v>
      </c>
      <c r="AR17" s="88">
        <f t="shared" si="2"/>
        <v>0</v>
      </c>
    </row>
    <row r="18" ht="15.75" customHeight="1">
      <c r="A18" s="89" t="s">
        <v>14</v>
      </c>
      <c r="B18" s="90"/>
      <c r="C18" s="90">
        <f t="shared" ref="C18:AC18" si="3">(C17-B17)/B17</f>
        <v>-0.1405128679</v>
      </c>
      <c r="D18" s="90">
        <f t="shared" si="3"/>
        <v>-0.2516201899</v>
      </c>
      <c r="E18" s="90">
        <f t="shared" si="3"/>
        <v>0.04205892921</v>
      </c>
      <c r="F18" s="90">
        <f t="shared" si="3"/>
        <v>0.03867174704</v>
      </c>
      <c r="G18" s="90">
        <f t="shared" si="3"/>
        <v>-0.1354657725</v>
      </c>
      <c r="H18" s="90">
        <f t="shared" si="3"/>
        <v>0.08887736882</v>
      </c>
      <c r="I18" s="90">
        <f t="shared" si="3"/>
        <v>-0.02562067993</v>
      </c>
      <c r="J18" s="90">
        <f t="shared" si="3"/>
        <v>0.4770263667</v>
      </c>
      <c r="K18" s="90">
        <f t="shared" si="3"/>
        <v>3.843933398</v>
      </c>
      <c r="L18" s="90">
        <f t="shared" si="3"/>
        <v>-0.02894093187</v>
      </c>
      <c r="M18" s="90">
        <f t="shared" si="3"/>
        <v>6.078163135</v>
      </c>
      <c r="N18" s="90">
        <f t="shared" si="3"/>
        <v>-0.1841667056</v>
      </c>
      <c r="O18" s="90">
        <f t="shared" si="3"/>
        <v>-0.01265834775</v>
      </c>
      <c r="P18" s="90">
        <f t="shared" si="3"/>
        <v>0.4791846838</v>
      </c>
      <c r="Q18" s="90">
        <f t="shared" si="3"/>
        <v>-0.04588456833</v>
      </c>
      <c r="R18" s="90">
        <f t="shared" si="3"/>
        <v>-0.01602544078</v>
      </c>
      <c r="S18" s="90">
        <f t="shared" si="3"/>
        <v>-0.03493659093</v>
      </c>
      <c r="T18" s="90">
        <f t="shared" si="3"/>
        <v>-0.1576964115</v>
      </c>
      <c r="U18" s="90">
        <f t="shared" si="3"/>
        <v>-0.07832066457</v>
      </c>
      <c r="V18" s="90">
        <f t="shared" si="3"/>
        <v>0.1063172071</v>
      </c>
      <c r="W18" s="90">
        <f t="shared" si="3"/>
        <v>0.2102140577</v>
      </c>
      <c r="X18" s="90">
        <f t="shared" si="3"/>
        <v>-0.02507785792</v>
      </c>
      <c r="Y18" s="90">
        <f t="shared" si="3"/>
        <v>0.1336821142</v>
      </c>
      <c r="Z18" s="90">
        <f t="shared" si="3"/>
        <v>0.1695572796</v>
      </c>
      <c r="AA18" s="90">
        <f t="shared" si="3"/>
        <v>0.5288527408</v>
      </c>
      <c r="AB18" s="90">
        <f t="shared" si="3"/>
        <v>-0.4549007204</v>
      </c>
      <c r="AC18" s="90">
        <f t="shared" si="3"/>
        <v>0.2132410807</v>
      </c>
      <c r="AD18" s="90">
        <f t="shared" ref="AD18:AR18" si="4">IF(AC17=0,0,(AD17-AC17)/AC17)</f>
        <v>-0.1992160976</v>
      </c>
      <c r="AE18" s="90">
        <f t="shared" si="4"/>
        <v>-0.04248520968</v>
      </c>
      <c r="AF18" s="90">
        <f t="shared" si="4"/>
        <v>0.1285257012</v>
      </c>
      <c r="AG18" s="90">
        <f t="shared" si="4"/>
        <v>0.3376516551</v>
      </c>
      <c r="AH18" s="90">
        <f t="shared" si="4"/>
        <v>-0.4417820685</v>
      </c>
      <c r="AI18" s="90">
        <f t="shared" si="4"/>
        <v>0.2204640408</v>
      </c>
      <c r="AJ18" s="90">
        <f t="shared" si="4"/>
        <v>-0.02344820213</v>
      </c>
      <c r="AK18" s="90">
        <f t="shared" si="4"/>
        <v>1.239863927</v>
      </c>
      <c r="AL18" s="90">
        <f t="shared" si="4"/>
        <v>0.05842893986</v>
      </c>
      <c r="AM18" s="90">
        <f t="shared" si="4"/>
        <v>-0.7137801727</v>
      </c>
      <c r="AN18" s="90">
        <f t="shared" si="4"/>
        <v>-1</v>
      </c>
      <c r="AO18" s="90">
        <f t="shared" si="4"/>
        <v>0</v>
      </c>
      <c r="AP18" s="90">
        <f t="shared" si="4"/>
        <v>0</v>
      </c>
      <c r="AQ18" s="90">
        <f t="shared" si="4"/>
        <v>0</v>
      </c>
      <c r="AR18" s="91">
        <f t="shared" si="4"/>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92"/>
      <c r="AF19" s="77"/>
      <c r="AG19" s="77"/>
      <c r="AH19" s="77"/>
      <c r="AI19" s="77"/>
      <c r="AJ19" s="77"/>
      <c r="AK19" s="77"/>
      <c r="AL19" s="77"/>
      <c r="AM19" s="77"/>
      <c r="AN19" s="77"/>
      <c r="AO19" s="77"/>
      <c r="AP19" s="77"/>
      <c r="AQ19" s="77"/>
      <c r="AR19" s="77"/>
    </row>
    <row r="20" ht="15.75" customHeight="1">
      <c r="A20" s="93" t="s">
        <v>90</v>
      </c>
      <c r="B20" s="94"/>
      <c r="C20" s="95">
        <f t="shared" ref="C20:AR20" si="5">IF(SUM(B5:B7)=0,"",(SUM(C5:C7)-SUM(B5:B7))/SUM(B5:B7))</f>
        <v>0.05279503106</v>
      </c>
      <c r="D20" s="95">
        <f t="shared" si="5"/>
        <v>0.03539823009</v>
      </c>
      <c r="E20" s="95">
        <f t="shared" si="5"/>
        <v>-0.5137701804</v>
      </c>
      <c r="F20" s="95">
        <f t="shared" si="5"/>
        <v>-0.009765625</v>
      </c>
      <c r="G20" s="95">
        <f t="shared" si="5"/>
        <v>-0.6331360947</v>
      </c>
      <c r="H20" s="95">
        <f t="shared" si="5"/>
        <v>2.612903226</v>
      </c>
      <c r="I20" s="95">
        <f t="shared" si="5"/>
        <v>0.6592261905</v>
      </c>
      <c r="J20" s="95">
        <f t="shared" si="5"/>
        <v>0.7757847534</v>
      </c>
      <c r="K20" s="95">
        <f t="shared" si="5"/>
        <v>17.73787879</v>
      </c>
      <c r="L20" s="95">
        <f t="shared" si="5"/>
        <v>0.1956281502</v>
      </c>
      <c r="M20" s="95">
        <f t="shared" si="5"/>
        <v>15.77494984</v>
      </c>
      <c r="N20" s="95">
        <f t="shared" si="5"/>
        <v>-0.2804628286</v>
      </c>
      <c r="O20" s="95">
        <f t="shared" si="5"/>
        <v>0.01195879138</v>
      </c>
      <c r="P20" s="95">
        <f t="shared" si="5"/>
        <v>0.5333401006</v>
      </c>
      <c r="Q20" s="95">
        <f t="shared" si="5"/>
        <v>-0.2318819647</v>
      </c>
      <c r="R20" s="95">
        <f t="shared" si="5"/>
        <v>0.1025379454</v>
      </c>
      <c r="S20" s="95">
        <f t="shared" si="5"/>
        <v>-0.05908420967</v>
      </c>
      <c r="T20" s="95">
        <f t="shared" si="5"/>
        <v>-0.1646631965</v>
      </c>
      <c r="U20" s="95">
        <f t="shared" si="5"/>
        <v>-0.1736991147</v>
      </c>
      <c r="V20" s="95">
        <f t="shared" si="5"/>
        <v>0.4358694915</v>
      </c>
      <c r="W20" s="95">
        <f t="shared" si="5"/>
        <v>0.09996768894</v>
      </c>
      <c r="X20" s="95">
        <f t="shared" si="5"/>
        <v>-0.2058671522</v>
      </c>
      <c r="Y20" s="95">
        <f t="shared" si="5"/>
        <v>0.5412133944</v>
      </c>
      <c r="Z20" s="95">
        <f t="shared" si="5"/>
        <v>-0.06764768134</v>
      </c>
      <c r="AA20" s="95">
        <f t="shared" si="5"/>
        <v>0.7208349017</v>
      </c>
      <c r="AB20" s="95">
        <f t="shared" si="5"/>
        <v>-0.4326488046</v>
      </c>
      <c r="AC20" s="95">
        <f t="shared" si="5"/>
        <v>0.5982419354</v>
      </c>
      <c r="AD20" s="95">
        <f t="shared" si="5"/>
        <v>-0.410247671</v>
      </c>
      <c r="AE20" s="95">
        <f t="shared" si="5"/>
        <v>-0.2308016245</v>
      </c>
      <c r="AF20" s="95">
        <f t="shared" si="5"/>
        <v>0.4713025153</v>
      </c>
      <c r="AG20" s="95">
        <f t="shared" si="5"/>
        <v>0.002864113518</v>
      </c>
      <c r="AH20" s="95">
        <f t="shared" si="5"/>
        <v>0.08900408522</v>
      </c>
      <c r="AI20" s="95">
        <f t="shared" si="5"/>
        <v>-0.2291816345</v>
      </c>
      <c r="AJ20" s="95">
        <f t="shared" si="5"/>
        <v>-0.03693090931</v>
      </c>
      <c r="AK20" s="95">
        <f t="shared" si="5"/>
        <v>1.676722966</v>
      </c>
      <c r="AL20" s="95">
        <f t="shared" si="5"/>
        <v>-0.07170053182</v>
      </c>
      <c r="AM20" s="95">
        <f t="shared" si="5"/>
        <v>-0.3894263129</v>
      </c>
      <c r="AN20" s="95">
        <f t="shared" si="5"/>
        <v>-1</v>
      </c>
      <c r="AO20" s="95" t="str">
        <f t="shared" si="5"/>
        <v/>
      </c>
      <c r="AP20" s="95" t="str">
        <f t="shared" si="5"/>
        <v/>
      </c>
      <c r="AQ20" s="95" t="str">
        <f t="shared" si="5"/>
        <v/>
      </c>
      <c r="AR20" s="96" t="str">
        <f t="shared" si="5"/>
        <v/>
      </c>
    </row>
    <row r="21" ht="15.75" customHeight="1">
      <c r="A21" s="97" t="s">
        <v>91</v>
      </c>
      <c r="B21" s="98"/>
      <c r="C21" s="99">
        <f t="shared" ref="C21:AE21" si="6">IF(SUM(B8:B10)=0,"",(SUM(C8:C10)-SUM(B8:B10))/SUM(B8:B10))</f>
        <v>-0.3624931155</v>
      </c>
      <c r="D21" s="99">
        <f t="shared" si="6"/>
        <v>-0.3590592753</v>
      </c>
      <c r="E21" s="99">
        <f t="shared" si="6"/>
        <v>0.1315710648</v>
      </c>
      <c r="F21" s="99">
        <f t="shared" si="6"/>
        <v>0.09635364966</v>
      </c>
      <c r="G21" s="99">
        <f t="shared" si="6"/>
        <v>0.1729341462</v>
      </c>
      <c r="H21" s="99">
        <f t="shared" si="6"/>
        <v>0.2964182791</v>
      </c>
      <c r="I21" s="99">
        <f t="shared" si="6"/>
        <v>-0.4852334074</v>
      </c>
      <c r="J21" s="99">
        <f t="shared" si="6"/>
        <v>1.069093152</v>
      </c>
      <c r="K21" s="99">
        <f t="shared" si="6"/>
        <v>3.716607036</v>
      </c>
      <c r="L21" s="99">
        <f t="shared" si="6"/>
        <v>0.09328676633</v>
      </c>
      <c r="M21" s="99">
        <f t="shared" si="6"/>
        <v>4.206610196</v>
      </c>
      <c r="N21" s="99">
        <f t="shared" si="6"/>
        <v>-0.1584279224</v>
      </c>
      <c r="O21" s="99">
        <f t="shared" si="6"/>
        <v>-0.1344954195</v>
      </c>
      <c r="P21" s="99">
        <f t="shared" si="6"/>
        <v>-0.08634792253</v>
      </c>
      <c r="Q21" s="99">
        <f t="shared" si="6"/>
        <v>0.6980311503</v>
      </c>
      <c r="R21" s="99">
        <f t="shared" si="6"/>
        <v>-0.07123632634</v>
      </c>
      <c r="S21" s="99">
        <f t="shared" si="6"/>
        <v>-0.1277083989</v>
      </c>
      <c r="T21" s="99">
        <f t="shared" si="6"/>
        <v>-0.03477393304</v>
      </c>
      <c r="U21" s="99">
        <f t="shared" si="6"/>
        <v>-0.08751568923</v>
      </c>
      <c r="V21" s="99">
        <f t="shared" si="6"/>
        <v>0.3304480161</v>
      </c>
      <c r="W21" s="99">
        <f t="shared" si="6"/>
        <v>0.01816981962</v>
      </c>
      <c r="X21" s="99">
        <f t="shared" si="6"/>
        <v>-0.06693803996</v>
      </c>
      <c r="Y21" s="99">
        <f t="shared" si="6"/>
        <v>0.1315175479</v>
      </c>
      <c r="Z21" s="99">
        <f t="shared" si="6"/>
        <v>0.1349840506</v>
      </c>
      <c r="AA21" s="99">
        <f t="shared" si="6"/>
        <v>0.8317912626</v>
      </c>
      <c r="AB21" s="99">
        <f t="shared" si="6"/>
        <v>-0.5017462051</v>
      </c>
      <c r="AC21" s="99">
        <f t="shared" si="6"/>
        <v>0.2465037748</v>
      </c>
      <c r="AD21" s="99">
        <f t="shared" si="6"/>
        <v>-0.2900816161</v>
      </c>
      <c r="AE21" s="99">
        <f t="shared" si="6"/>
        <v>0.08468220025</v>
      </c>
      <c r="AF21" s="99">
        <f t="shared" ref="AF21:AH21" si="7">IF(SUM(AE6:AE8)=0,"",(SUM(AF6:AF8)-SUM(AE6:AE8))/SUM(AE6:AE8))</f>
        <v>0.2598300404</v>
      </c>
      <c r="AG21" s="99">
        <f t="shared" si="7"/>
        <v>-0.3298234249</v>
      </c>
      <c r="AH21" s="99">
        <f t="shared" si="7"/>
        <v>0.5477731146</v>
      </c>
      <c r="AI21" s="99">
        <f t="shared" ref="AI21:AR21" si="8">IF(SUM(AH8:AH10)=0,"",(SUM(AI8:AI10)-SUM(AH8:AH10))/SUM(AH8:AH10))</f>
        <v>0.04654798367</v>
      </c>
      <c r="AJ21" s="99">
        <f t="shared" si="8"/>
        <v>0.5435516569</v>
      </c>
      <c r="AK21" s="99">
        <f t="shared" si="8"/>
        <v>0.8280411786</v>
      </c>
      <c r="AL21" s="99">
        <f t="shared" si="8"/>
        <v>0.2961239096</v>
      </c>
      <c r="AM21" s="99">
        <f t="shared" si="8"/>
        <v>-0.4647402235</v>
      </c>
      <c r="AN21" s="99">
        <f t="shared" si="8"/>
        <v>-1</v>
      </c>
      <c r="AO21" s="99" t="str">
        <f t="shared" si="8"/>
        <v/>
      </c>
      <c r="AP21" s="99" t="str">
        <f t="shared" si="8"/>
        <v/>
      </c>
      <c r="AQ21" s="99" t="str">
        <f t="shared" si="8"/>
        <v/>
      </c>
      <c r="AR21" s="100" t="str">
        <f t="shared" si="8"/>
        <v/>
      </c>
    </row>
    <row r="22" ht="15.75" customHeight="1">
      <c r="A22" s="97" t="s">
        <v>92</v>
      </c>
      <c r="B22" s="98"/>
      <c r="C22" s="99">
        <f t="shared" ref="C22:AE22" si="9">IF(SUM(B11:B13)=0,"",(SUM(C11:C13)-SUM(B11:B13))/SUM(B11:B13))</f>
        <v>0.06248183064</v>
      </c>
      <c r="D22" s="99">
        <f t="shared" si="9"/>
        <v>-0.2205132214</v>
      </c>
      <c r="E22" s="99">
        <f t="shared" si="9"/>
        <v>-0.002281616688</v>
      </c>
      <c r="F22" s="99">
        <f t="shared" si="9"/>
        <v>0.03420199533</v>
      </c>
      <c r="G22" s="99">
        <f t="shared" si="9"/>
        <v>-0.2656363901</v>
      </c>
      <c r="H22" s="99">
        <f t="shared" si="9"/>
        <v>-0.061048243</v>
      </c>
      <c r="I22" s="99">
        <f t="shared" si="9"/>
        <v>0.3829862212</v>
      </c>
      <c r="J22" s="99">
        <f t="shared" si="9"/>
        <v>0.2265256721</v>
      </c>
      <c r="K22" s="99">
        <f t="shared" si="9"/>
        <v>2.831037706</v>
      </c>
      <c r="L22" s="99">
        <f t="shared" si="9"/>
        <v>-0.05870167618</v>
      </c>
      <c r="M22" s="99">
        <f t="shared" si="9"/>
        <v>3.383392287</v>
      </c>
      <c r="N22" s="99">
        <f t="shared" si="9"/>
        <v>-0.1712350732</v>
      </c>
      <c r="O22" s="99">
        <f t="shared" si="9"/>
        <v>0.1130118033</v>
      </c>
      <c r="P22" s="99">
        <f t="shared" si="9"/>
        <v>0.8060548291</v>
      </c>
      <c r="Q22" s="99">
        <f t="shared" si="9"/>
        <v>-0.1650098415</v>
      </c>
      <c r="R22" s="99">
        <f t="shared" si="9"/>
        <v>-0.07833555835</v>
      </c>
      <c r="S22" s="99">
        <f t="shared" si="9"/>
        <v>-0.03534462522</v>
      </c>
      <c r="T22" s="99">
        <f t="shared" si="9"/>
        <v>-0.1341200599</v>
      </c>
      <c r="U22" s="99">
        <f t="shared" si="9"/>
        <v>-0.05371131503</v>
      </c>
      <c r="V22" s="99">
        <f t="shared" si="9"/>
        <v>-0.1616903615</v>
      </c>
      <c r="W22" s="99">
        <f t="shared" si="9"/>
        <v>0.4607383869</v>
      </c>
      <c r="X22" s="99">
        <f t="shared" si="9"/>
        <v>0.002250594422</v>
      </c>
      <c r="Y22" s="99">
        <f t="shared" si="9"/>
        <v>-0.006996576211</v>
      </c>
      <c r="Z22" s="99">
        <f t="shared" si="9"/>
        <v>0.288642427</v>
      </c>
      <c r="AA22" s="99">
        <f t="shared" si="9"/>
        <v>0.3670458224</v>
      </c>
      <c r="AB22" s="99">
        <f t="shared" si="9"/>
        <v>-0.4215784053</v>
      </c>
      <c r="AC22" s="99">
        <f t="shared" si="9"/>
        <v>0.03484515238</v>
      </c>
      <c r="AD22" s="99">
        <f t="shared" si="9"/>
        <v>-0.09729363691</v>
      </c>
      <c r="AE22" s="99">
        <f t="shared" si="9"/>
        <v>0.05649315804</v>
      </c>
      <c r="AF22" s="99">
        <f t="shared" ref="AF22:AH22" si="10">IF(SUM(AE7:AE9)=0,"",(SUM(AF7:AF9)-SUM(AE7:AE9))/SUM(AE7:AE9))</f>
        <v>0.05697218633</v>
      </c>
      <c r="AG22" s="99">
        <f t="shared" si="10"/>
        <v>-0.3590333928</v>
      </c>
      <c r="AH22" s="99">
        <f t="shared" si="10"/>
        <v>0.3733448725</v>
      </c>
      <c r="AI22" s="99">
        <f t="shared" ref="AI22:AR22" si="11">IF(SUM(AH11:AH13)=0,"",(SUM(AI11:AI13)-SUM(AH11:AH13))/SUM(AH11:AH13))</f>
        <v>2.279747977</v>
      </c>
      <c r="AJ22" s="99">
        <f t="shared" si="11"/>
        <v>-0.2602772227</v>
      </c>
      <c r="AK22" s="99">
        <f t="shared" si="11"/>
        <v>1.074031983</v>
      </c>
      <c r="AL22" s="99">
        <f t="shared" si="11"/>
        <v>0.03337824648</v>
      </c>
      <c r="AM22" s="99">
        <f t="shared" si="11"/>
        <v>-1</v>
      </c>
      <c r="AN22" s="99" t="str">
        <f t="shared" si="11"/>
        <v/>
      </c>
      <c r="AO22" s="99" t="str">
        <f t="shared" si="11"/>
        <v/>
      </c>
      <c r="AP22" s="99" t="str">
        <f t="shared" si="11"/>
        <v/>
      </c>
      <c r="AQ22" s="99" t="str">
        <f t="shared" si="11"/>
        <v/>
      </c>
      <c r="AR22" s="100" t="str">
        <f t="shared" si="11"/>
        <v/>
      </c>
    </row>
    <row r="23" ht="15.75" customHeight="1">
      <c r="A23" s="97" t="s">
        <v>93</v>
      </c>
      <c r="B23" s="98"/>
      <c r="C23" s="99">
        <f t="shared" ref="C23:AE23" si="12">IF(SUM(B14:B16)=0,"",(SUM(C14:C16)-SUM(B14:B16))/SUM(B14:B16))</f>
        <v>-0.713348847</v>
      </c>
      <c r="D23" s="99">
        <f t="shared" si="12"/>
        <v>0.01033210332</v>
      </c>
      <c r="E23" s="99">
        <f t="shared" si="12"/>
        <v>0.8882395909</v>
      </c>
      <c r="F23" s="99">
        <f t="shared" si="12"/>
        <v>-0.2201160542</v>
      </c>
      <c r="G23" s="99">
        <f t="shared" si="12"/>
        <v>0.1125992063</v>
      </c>
      <c r="H23" s="99">
        <f t="shared" si="12"/>
        <v>0.1016495765</v>
      </c>
      <c r="I23" s="99">
        <f t="shared" si="12"/>
        <v>-0.2185350061</v>
      </c>
      <c r="J23" s="99">
        <f t="shared" si="12"/>
        <v>1.419471776</v>
      </c>
      <c r="K23" s="99">
        <f t="shared" si="12"/>
        <v>9.122645548</v>
      </c>
      <c r="L23" s="99">
        <f t="shared" si="12"/>
        <v>-0.4161503817</v>
      </c>
      <c r="M23" s="99">
        <f t="shared" si="12"/>
        <v>16.81899174</v>
      </c>
      <c r="N23" s="99">
        <f t="shared" si="12"/>
        <v>-0.09621395965</v>
      </c>
      <c r="O23" s="99">
        <f t="shared" si="12"/>
        <v>-0.05439879104</v>
      </c>
      <c r="P23" s="99">
        <f t="shared" si="12"/>
        <v>0.5695368963</v>
      </c>
      <c r="Q23" s="99">
        <f t="shared" si="12"/>
        <v>-0.123338379</v>
      </c>
      <c r="R23" s="99">
        <f t="shared" si="12"/>
        <v>0.04487247072</v>
      </c>
      <c r="S23" s="99">
        <f t="shared" si="12"/>
        <v>0.1098530275</v>
      </c>
      <c r="T23" s="99">
        <f t="shared" si="12"/>
        <v>-0.3047179724</v>
      </c>
      <c r="U23" s="99">
        <f t="shared" si="12"/>
        <v>0.004308718617</v>
      </c>
      <c r="V23" s="99">
        <f t="shared" si="12"/>
        <v>-0.05191395628</v>
      </c>
      <c r="W23" s="99">
        <f t="shared" si="12"/>
        <v>0.3426282802</v>
      </c>
      <c r="X23" s="99">
        <f t="shared" si="12"/>
        <v>0.2056712734</v>
      </c>
      <c r="Y23" s="99">
        <f t="shared" si="12"/>
        <v>-0.003800948777</v>
      </c>
      <c r="Z23" s="99">
        <f t="shared" si="12"/>
        <v>0.3459455422</v>
      </c>
      <c r="AA23" s="99">
        <f t="shared" si="12"/>
        <v>0.2718145591</v>
      </c>
      <c r="AB23" s="99">
        <f t="shared" si="12"/>
        <v>-0.4596208959</v>
      </c>
      <c r="AC23" s="99">
        <f t="shared" si="12"/>
        <v>-0.0393638279</v>
      </c>
      <c r="AD23" s="99">
        <f t="shared" si="12"/>
        <v>0.221319202</v>
      </c>
      <c r="AE23" s="99">
        <f t="shared" si="12"/>
        <v>-0.09735430814</v>
      </c>
      <c r="AF23" s="99">
        <f t="shared" ref="AF23:AH23" si="13">IF(SUM(AE8:AE10)=0,"",(SUM(AF8:AF10)-SUM(AE8:AE10))/SUM(AE8:AE10))</f>
        <v>0.03223097313</v>
      </c>
      <c r="AG23" s="99">
        <f t="shared" si="13"/>
        <v>-0.1291719191</v>
      </c>
      <c r="AH23" s="99">
        <f t="shared" si="13"/>
        <v>-0.324580105</v>
      </c>
      <c r="AI23" s="99">
        <f t="shared" ref="AI23:AR23" si="14">IF(SUM(AH14:AH16)=0,"",(SUM(AI14:AI16)-SUM(AH14:AH16))/SUM(AH14:AH16))</f>
        <v>-0.1145490609</v>
      </c>
      <c r="AJ23" s="99">
        <f t="shared" si="14"/>
        <v>-0.0225279201</v>
      </c>
      <c r="AK23" s="99">
        <f t="shared" si="14"/>
        <v>1.510503003</v>
      </c>
      <c r="AL23" s="99">
        <f t="shared" si="14"/>
        <v>0.02055370338</v>
      </c>
      <c r="AM23" s="99">
        <f t="shared" si="14"/>
        <v>-1</v>
      </c>
      <c r="AN23" s="99" t="str">
        <f t="shared" si="14"/>
        <v/>
      </c>
      <c r="AO23" s="99" t="str">
        <f t="shared" si="14"/>
        <v/>
      </c>
      <c r="AP23" s="99" t="str">
        <f t="shared" si="14"/>
        <v/>
      </c>
      <c r="AQ23" s="99" t="str">
        <f t="shared" si="14"/>
        <v/>
      </c>
      <c r="AR23" s="100" t="str">
        <f t="shared" si="14"/>
        <v/>
      </c>
    </row>
    <row r="24" ht="15.75" customHeight="1">
      <c r="A24" s="97" t="s">
        <v>94</v>
      </c>
      <c r="B24" s="98"/>
      <c r="C24" s="99">
        <f t="shared" ref="C24:AE24" si="15">IF(SUM(B5:B10)=0,"",(SUM(C5:C10)-SUM(B5:B10))/SUM(B5:B10))</f>
        <v>-0.3505706134</v>
      </c>
      <c r="D24" s="99">
        <f t="shared" si="15"/>
        <v>-0.34070108</v>
      </c>
      <c r="E24" s="99">
        <f t="shared" si="15"/>
        <v>0.08440341501</v>
      </c>
      <c r="F24" s="99">
        <f t="shared" si="15"/>
        <v>0.09287588811</v>
      </c>
      <c r="G24" s="99">
        <f t="shared" si="15"/>
        <v>0.1489984772</v>
      </c>
      <c r="H24" s="99">
        <f t="shared" si="15"/>
        <v>0.3183810786</v>
      </c>
      <c r="I24" s="99">
        <f t="shared" si="15"/>
        <v>-0.4554979895</v>
      </c>
      <c r="J24" s="99">
        <f t="shared" si="15"/>
        <v>1.045870908</v>
      </c>
      <c r="K24" s="99">
        <f t="shared" si="15"/>
        <v>4.680167986</v>
      </c>
      <c r="L24" s="99">
        <f t="shared" si="15"/>
        <v>0.1164875319</v>
      </c>
      <c r="M24" s="99">
        <f t="shared" si="15"/>
        <v>7.015044795</v>
      </c>
      <c r="N24" s="99">
        <f t="shared" si="15"/>
        <v>-0.2204337676</v>
      </c>
      <c r="O24" s="99">
        <f t="shared" si="15"/>
        <v>-0.06581220088</v>
      </c>
      <c r="P24" s="99">
        <f t="shared" si="15"/>
        <v>0.228463524</v>
      </c>
      <c r="Q24" s="99">
        <f t="shared" si="15"/>
        <v>0.1083788283</v>
      </c>
      <c r="R24" s="99">
        <f t="shared" si="15"/>
        <v>0.005125948634</v>
      </c>
      <c r="S24" s="99">
        <f t="shared" si="15"/>
        <v>-0.09463006187</v>
      </c>
      <c r="T24" s="99">
        <f t="shared" si="15"/>
        <v>-0.09984147223</v>
      </c>
      <c r="U24" s="99">
        <f t="shared" si="15"/>
        <v>-0.1275799834</v>
      </c>
      <c r="V24" s="99">
        <f t="shared" si="15"/>
        <v>0.3768648411</v>
      </c>
      <c r="W24" s="99">
        <f t="shared" si="15"/>
        <v>0.05572864399</v>
      </c>
      <c r="X24" s="99">
        <f t="shared" si="15"/>
        <v>-0.1334027145</v>
      </c>
      <c r="Y24" s="99">
        <f t="shared" si="15"/>
        <v>0.3111294114</v>
      </c>
      <c r="Z24" s="99">
        <f t="shared" si="15"/>
        <v>0.03056057854</v>
      </c>
      <c r="AA24" s="99">
        <f t="shared" si="15"/>
        <v>0.7800604373</v>
      </c>
      <c r="AB24" s="99">
        <f t="shared" si="15"/>
        <v>-0.4706029954</v>
      </c>
      <c r="AC24" s="99">
        <f t="shared" si="15"/>
        <v>0.4164030957</v>
      </c>
      <c r="AD24" s="99">
        <f t="shared" si="15"/>
        <v>-0.3555768372</v>
      </c>
      <c r="AE24" s="99">
        <f t="shared" si="15"/>
        <v>-0.0726810906</v>
      </c>
      <c r="AF24" s="99">
        <f t="shared" ref="AF24:AH24" si="16">IF(SUM(AE9:AE11)=0,"",(SUM(AF9:AF11)-SUM(AE9:AE11))/SUM(AE9:AE11))</f>
        <v>0.1195303803</v>
      </c>
      <c r="AG24" s="99">
        <f t="shared" si="16"/>
        <v>0.2352678595</v>
      </c>
      <c r="AH24" s="99">
        <f t="shared" si="16"/>
        <v>-0.8430997192</v>
      </c>
      <c r="AI24" s="99">
        <f t="shared" ref="AI24:AR24" si="17">IF(SUM(AH5:AH10)=0,"",(SUM(AI5:AI10)-SUM(AH5:AH10))/SUM(AH5:AH10))</f>
        <v>-0.1330364884</v>
      </c>
      <c r="AJ24" s="99">
        <f t="shared" si="17"/>
        <v>0.2074073361</v>
      </c>
      <c r="AK24" s="99">
        <f t="shared" si="17"/>
        <v>1.220040318</v>
      </c>
      <c r="AL24" s="99">
        <f t="shared" si="17"/>
        <v>0.09127984767</v>
      </c>
      <c r="AM24" s="99">
        <f t="shared" si="17"/>
        <v>-0.4290614464</v>
      </c>
      <c r="AN24" s="99">
        <f t="shared" si="17"/>
        <v>-1</v>
      </c>
      <c r="AO24" s="99" t="str">
        <f t="shared" si="17"/>
        <v/>
      </c>
      <c r="AP24" s="99" t="str">
        <f t="shared" si="17"/>
        <v/>
      </c>
      <c r="AQ24" s="99" t="str">
        <f t="shared" si="17"/>
        <v/>
      </c>
      <c r="AR24" s="100" t="str">
        <f t="shared" si="17"/>
        <v/>
      </c>
    </row>
    <row r="25" ht="15.75" customHeight="1">
      <c r="A25" s="97" t="s">
        <v>95</v>
      </c>
      <c r="B25" s="98"/>
      <c r="C25" s="99">
        <f t="shared" ref="C25:AE25" si="18">IF(SUM(B11:B16)=0,"",(SUM(C11:C16)-SUM(B11:B16))/SUM(B11:B16))</f>
        <v>-0.00686395008</v>
      </c>
      <c r="D25" s="99">
        <f t="shared" si="18"/>
        <v>-0.2145577092</v>
      </c>
      <c r="E25" s="99">
        <f t="shared" si="18"/>
        <v>0.02727074395</v>
      </c>
      <c r="F25" s="99">
        <f t="shared" si="18"/>
        <v>0.01868894238</v>
      </c>
      <c r="G25" s="99">
        <f t="shared" si="18"/>
        <v>-0.2479731295</v>
      </c>
      <c r="H25" s="99">
        <f t="shared" si="18"/>
        <v>-0.04980748498</v>
      </c>
      <c r="I25" s="99">
        <f t="shared" si="18"/>
        <v>0.3348029046</v>
      </c>
      <c r="J25" s="99">
        <f t="shared" si="18"/>
        <v>0.2824703711</v>
      </c>
      <c r="K25" s="99">
        <f t="shared" si="18"/>
        <v>3.387675876</v>
      </c>
      <c r="L25" s="99">
        <f t="shared" si="18"/>
        <v>-0.1316616314</v>
      </c>
      <c r="M25" s="99">
        <f t="shared" si="18"/>
        <v>5.227303001</v>
      </c>
      <c r="N25" s="99">
        <f t="shared" si="18"/>
        <v>-0.1417739381</v>
      </c>
      <c r="O25" s="99">
        <f t="shared" si="18"/>
        <v>0.04377885327</v>
      </c>
      <c r="P25" s="99">
        <f t="shared" si="18"/>
        <v>0.7174426334</v>
      </c>
      <c r="Q25" s="99">
        <f t="shared" si="18"/>
        <v>-0.150742027</v>
      </c>
      <c r="R25" s="99">
        <f t="shared" si="18"/>
        <v>-0.03478937614</v>
      </c>
      <c r="S25" s="99">
        <f t="shared" si="18"/>
        <v>0.02020893089</v>
      </c>
      <c r="T25" s="99">
        <f t="shared" si="18"/>
        <v>-0.2051272507</v>
      </c>
      <c r="U25" s="99">
        <f t="shared" si="18"/>
        <v>-0.03258761507</v>
      </c>
      <c r="V25" s="99">
        <f t="shared" si="18"/>
        <v>-0.1201991029</v>
      </c>
      <c r="W25" s="99">
        <f t="shared" si="18"/>
        <v>0.4126325229</v>
      </c>
      <c r="X25" s="99">
        <f t="shared" si="18"/>
        <v>0.08099734579</v>
      </c>
      <c r="Y25" s="99">
        <f t="shared" si="18"/>
        <v>-0.005616833929</v>
      </c>
      <c r="Z25" s="99">
        <f t="shared" si="18"/>
        <v>0.3134287683</v>
      </c>
      <c r="AA25" s="99">
        <f t="shared" si="18"/>
        <v>0.3248339417</v>
      </c>
      <c r="AB25" s="99">
        <f t="shared" si="18"/>
        <v>-0.4377661537</v>
      </c>
      <c r="AC25" s="99">
        <f t="shared" si="18"/>
        <v>0.004495373771</v>
      </c>
      <c r="AD25" s="99">
        <f t="shared" si="18"/>
        <v>0.02732222641</v>
      </c>
      <c r="AE25" s="99">
        <f t="shared" si="18"/>
        <v>-0.01504255448</v>
      </c>
      <c r="AF25" s="99">
        <f t="shared" ref="AF25:AH25" si="19">IF(SUM(AE10:AE12)=0,"",(SUM(AF10:AF12)-SUM(AE10:AE12))/SUM(AE10:AE12))</f>
        <v>0.05635297391</v>
      </c>
      <c r="AG25" s="99">
        <f t="shared" si="19"/>
        <v>0.7217505763</v>
      </c>
      <c r="AH25" s="99">
        <f t="shared" si="19"/>
        <v>-0.8915163781</v>
      </c>
      <c r="AI25" s="99">
        <f t="shared" ref="AI25:AR25" si="20">IF(SUM(AH11:AH16)=0,"",(SUM(AI11:AI16)-SUM(AH11:AH16))/SUM(AH11:AH16))</f>
        <v>0.6677355418</v>
      </c>
      <c r="AJ25" s="99">
        <f t="shared" si="20"/>
        <v>-0.1752913126</v>
      </c>
      <c r="AK25" s="99">
        <f t="shared" si="20"/>
        <v>1.25895326</v>
      </c>
      <c r="AL25" s="99">
        <f t="shared" si="20"/>
        <v>0.02733977706</v>
      </c>
      <c r="AM25" s="99">
        <f t="shared" si="20"/>
        <v>-1</v>
      </c>
      <c r="AN25" s="99" t="str">
        <f t="shared" si="20"/>
        <v/>
      </c>
      <c r="AO25" s="99" t="str">
        <f t="shared" si="20"/>
        <v/>
      </c>
      <c r="AP25" s="99" t="str">
        <f t="shared" si="20"/>
        <v/>
      </c>
      <c r="AQ25" s="99" t="str">
        <f t="shared" si="20"/>
        <v/>
      </c>
      <c r="AR25" s="100" t="str">
        <f t="shared" si="20"/>
        <v/>
      </c>
    </row>
    <row r="26" ht="15.75" customHeight="1">
      <c r="A26" s="97" t="s">
        <v>96</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101"/>
    </row>
    <row r="27" ht="15.75" customHeight="1">
      <c r="A27" s="102" t="s">
        <v>97</v>
      </c>
      <c r="B27" s="103"/>
      <c r="C27" s="104" t="str">
        <f>(('綠島遊憩區'!C17+'東部海岸富岡地質公園及加路蘭休憩區'!C17+'水往上流遊憩區(113年起停計)'!C17+'都蘭遊憩區及周邊地區'!C17+'都歷處本部'!C17+'三仙台遊憩區及周邊地區'!C17+'八仙洞遊憩區'!C17)-('綠島遊憩區'!B17+'東部海岸富岡地質公園及加路蘭休憩區'!B17+'水往上流遊憩區(113年起停計)'!B17+'都蘭遊憩區及周邊地區'!B17+'都歷處本部'!B17+'三仙台遊憩區及周邊地區'!B17+'八仙洞遊憩區'!B17))/('綠島遊憩區'!B17+'東部海岸富岡地質公園及加路蘭休憩區'!B17+'水往上流遊憩區(113年起停計)'!B17+'都蘭遊憩區及周邊地區'!B17+'都歷處本部'!B17+'三仙台遊憩區及周邊地區'!B17+'八仙洞遊憩區'!B17)</f>
        <v>#DIV/0!</v>
      </c>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3"/>
      <c r="AM27" s="103"/>
      <c r="AN27" s="103"/>
      <c r="AO27" s="103"/>
      <c r="AP27" s="103"/>
      <c r="AQ27" s="103"/>
      <c r="AR27" s="105"/>
    </row>
    <row r="28" ht="15.75" customHeight="1">
      <c r="A28" s="77"/>
      <c r="B28" s="77"/>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77"/>
      <c r="AM28" s="77"/>
      <c r="AN28" s="77"/>
      <c r="AO28" s="77"/>
      <c r="AP28" s="77"/>
      <c r="AQ28" s="77"/>
      <c r="AR28" s="77"/>
    </row>
    <row r="29" ht="15.75" customHeight="1">
      <c r="A29" s="77"/>
      <c r="B29" s="77"/>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77"/>
      <c r="AM29" s="106">
        <f>sum(AL5:AL12)/sum(AK5:AK12)-1</f>
        <v>0.07760355207</v>
      </c>
      <c r="AN29" s="77"/>
      <c r="AO29" s="77"/>
      <c r="AP29" s="77"/>
      <c r="AQ29" s="77"/>
      <c r="AR29" s="77"/>
    </row>
    <row r="30" ht="15.75" customHeight="1">
      <c r="A30" s="77"/>
      <c r="B30" s="77"/>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20:AR25">
    <cfRule type="cellIs" dxfId="0" priority="1" stopIfTrue="1" operator="lessThan">
      <formula>0</formula>
    </cfRule>
  </conditionalFormatting>
  <conditionalFormatting sqref="AG6:AG8">
    <cfRule type="expression" dxfId="2" priority="2" stopIfTrue="1">
      <formula>AG6-AF6&lt;0</formula>
    </cfRule>
  </conditionalFormatting>
  <conditionalFormatting sqref="B5:B16 C5:AR17">
    <cfRule type="expression" dxfId="2" priority="3" stopIfTrue="1">
      <formula>B5-A5&lt;0</formula>
    </cfRule>
  </conditionalFormatting>
  <dataValidations>
    <dataValidation type="list" allowBlank="1" showErrorMessage="1" sqref="B2:C2">
      <formula1>年份</formula1>
    </dataValidation>
  </dataValidations>
  <printOptions/>
  <pageMargins bottom="0.75" footer="0.0" header="0.0" left="0.7000000000000001" right="0.7000000000000001"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0" width="3.78"/>
    <col customWidth="1" hidden="1" min="11" max="13" width="9.11"/>
    <col customWidth="1" hidden="1" min="14" max="14" width="9.44"/>
    <col customWidth="1" hidden="1" min="15" max="15" width="8.33"/>
    <col customWidth="1" hidden="1" min="16" max="16" width="8.11"/>
    <col customWidth="1" hidden="1" min="17" max="17" width="8.89"/>
    <col customWidth="1" hidden="1" min="18" max="23" width="9.11"/>
    <col customWidth="1" min="24" max="24" width="9.11"/>
    <col customWidth="1" hidden="1" min="25" max="25" width="9.11"/>
    <col customWidth="1" hidden="1" min="26" max="27" width="10.0"/>
    <col customWidth="1" hidden="1" min="28" max="33" width="9.11"/>
    <col customWidth="1" min="34" max="44" width="9.11"/>
  </cols>
  <sheetData>
    <row r="1" ht="15.75" customHeight="1">
      <c r="A1" s="74" t="s">
        <v>98</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99</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v>12591.0</v>
      </c>
      <c r="L5" s="83">
        <v>9824.0</v>
      </c>
      <c r="M5" s="83">
        <f>IFERROR(__xludf.DUMMYFUNCTION("IMPORTRANGE(""https://docs.google.com/spreadsheets/d/1dffLfsI-BGVz-K0zdrsWfGaqrFfoLJAhq001merp6Rk/edit?usp=sharing"",""1-12每月!$F5"")"),10863.0)</f>
        <v>10863</v>
      </c>
      <c r="N5" s="83">
        <f>IFERROR(__xludf.DUMMYFUNCTION("IMPORTRANGE(""https://docs.google.com/spreadsheets/d/1SzxpZPUDnwxS8mSOLGEH5NbWU7ZW_VcRmIn7psOvuTs/edit#gid=1650312294?usp=sharing"",""1-12每月!$F5"")"),17664.0)</f>
        <v>17664</v>
      </c>
      <c r="O5" s="83">
        <f>IFERROR(__xludf.DUMMYFUNCTION("IMPORTRANGE(""https://docs.google.com/spreadsheets/d/1ta9i7cAkOPF0LapwmU_YEDA4IPQvKNuaYVMY8vIVPwI/edit#gid=1607741572?usp=sharing"",""1-12每月!$F5"")"),11436.0)</f>
        <v>11436</v>
      </c>
      <c r="P5" s="83">
        <f>IFERROR(__xludf.DUMMYFUNCTION("IMPORTRANGE(""https://docs.google.com/spreadsheets/d/1f4WWQfcNBonYqfzcaBhJlHzPwh34sx4U6naz-Aw2G4I/edit#gid=2097425894?usp=sharing"",""1-12每月!$B5"")"),8358.0)</f>
        <v>8358</v>
      </c>
      <c r="Q5" s="83">
        <f>IFERROR(__xludf.DUMMYFUNCTION("IMPORTRANGE(""https://docs.google.com/spreadsheets/d/1pCmmgCj7Y_SQPZLsiVd3yvND9oLyryVfBwNxC6OUwm8/edit#gid=170549058?usp=sharing"",""1-12每月!$B5"")"),13141.0)</f>
        <v>13141</v>
      </c>
      <c r="R5" s="83">
        <f>IFERROR(__xludf.DUMMYFUNCTION("IMPORTRANGE(""https://docs.google.com/spreadsheets/d/1hrRqxxacrLITR_JGMRVbhSRCIZIU8gAv0o_aOkHz68M/edit#gid=763155734?usp=sharing"",""1-12每月!$B5"")"),8895.0)</f>
        <v>8895</v>
      </c>
      <c r="S5" s="83">
        <f>IFERROR(__xludf.DUMMYFUNCTION("IMPORTRANGE(""https://docs.google.com/spreadsheets/d/1AKS3XWcgwNLFRbGU-lJ3UBHDQNdglvKwrv4_Bpp1IjU/edit#gid=73116376?usp=sharing"",""1-12每月!$B5"")"),14014.0)</f>
        <v>14014</v>
      </c>
      <c r="T5" s="83">
        <f>IFERROR(__xludf.DUMMYFUNCTION("IMPORTRANGE(""https://docs.google.com/spreadsheets/d/1wGGXGHkWT5JsjUDTy4FnHN_O9ae4MADbMykqIWVThNc/edit#gid=297806252"",""1-12每月!$B5"")"),4874.0)</f>
        <v>4874</v>
      </c>
      <c r="U5" s="83">
        <f>IFERROR(__xludf.DUMMYFUNCTION("IMPORTRANGE(""https://docs.google.com/spreadsheets/d/1ShTgtQQDjMKpYx-TJ_lwdxnWSzJNUcNnzR3fJjoaZec/edit#gid=66107904"",""1-12每月!$B5"")"),6059.0)</f>
        <v>6059</v>
      </c>
      <c r="V5" s="83">
        <f>IFERROR(__xludf.DUMMYFUNCTION("IMPORTRANGE(""https://docs.google.com/spreadsheets/d/1_eyuyKbXFCJd6fVFEKQwugwYCbRCmmWN_M7XR1dtOb8/edit#gid=951918895"",""1-12每月!$B5"")"),16043.0)</f>
        <v>16043</v>
      </c>
      <c r="W5" s="83">
        <f>IFERROR(__xludf.DUMMYFUNCTION("IMPORTRANGE(""https://docs.google.com/spreadsheets/d/1yEpHI9_Y4w8sRmPP9C-mYK4NMfVuTJifGLMj4FMdqek/edit#gid=799087919"",""1-12每月!$B5"")"),6867.0)</f>
        <v>6867</v>
      </c>
      <c r="X5" s="83">
        <f>IFERROR(__xludf.DUMMYFUNCTION("IMPORTRANGE(""https://docs.google.com/spreadsheets/d/1Vbyb9GlrY6jOwvoGyZFB96f7WXYjkT6gvTE37DPDXDI/edit#gid=9591526"",""1-12每月!$B5"")"),5831.0)</f>
        <v>5831</v>
      </c>
      <c r="Y5" s="83">
        <f>IFERROR(__xludf.DUMMYFUNCTION("IMPORTRANGE(""https://docs.google.com/spreadsheets/d/1qeckoJwzWQAg8zQ80D-QJP4pnVYH6l2juaUyHtOu6y8/edit#gid=1905704096"",""1-12每月!$B5"")"),15176.0)</f>
        <v>15176</v>
      </c>
      <c r="Z5" s="83">
        <f>IFERROR(__xludf.DUMMYFUNCTION("IMPORTRANGE(""https://docs.google.com/spreadsheets/d/1BcbIi7AD1VDpy_wMQ0YjCG-iuQy0_tkCVqr72a0Pwbg/edit#gid=1099513714"",""1-12每月!$B5"")"),5615.0)</f>
        <v>5615</v>
      </c>
      <c r="AA5" s="83">
        <f>IFERROR(__xludf.DUMMYFUNCTION("IMPORTRANGE(""https://docs.google.com/spreadsheets/d/1cIFCQPaYiOmIt2O3vkEx5eto8sfRtx3JtAWJ1fv31HI/edit#gid=432689709"",""1-12每月!$B5"")"),7135.0)</f>
        <v>7135</v>
      </c>
      <c r="AB5" s="83">
        <f>IFERROR(__xludf.DUMMYFUNCTION("IMPORTRANGE(""https://docs.google.com/spreadsheets/d/1C8ECYlbes2CJkHHGOAyOYVfrP7PdlGr8RMjK7KZd0_o/edit#gid=495469277"",""1-12每月!$B5"")"),8514.0)</f>
        <v>8514</v>
      </c>
      <c r="AC5" s="83">
        <f>IFERROR(__xludf.DUMMYFUNCTION("IMPORTRANGE(""https://docs.google.com/spreadsheets/d/1ettcrhLPK6tkvHZxDTyU2bGIpGSi2ynG91ln0fqz9iE/edit#gid=1364213386"",""1-12每月!$B5"")"),8818.0)</f>
        <v>8818</v>
      </c>
      <c r="AD5" s="83">
        <f>IFERROR(__xludf.DUMMYFUNCTION("IMPORTRANGE(""https://docs.google.com/spreadsheets/d/1xUhm-MtqzfUO8M5WEWVv9w2EFkv5_PHMOsAlA3CcCWU/edit#gid=1700470961"",""1-12每月!$B5"")"),11833.0)</f>
        <v>11833</v>
      </c>
      <c r="AE5" s="83">
        <f>IFERROR(__xludf.DUMMYFUNCTION("IMPORTRANGE(""https://docs.google.com/spreadsheets/d/1DP8wl0QQLYSZ8R2aQ8wNmiAUXn7lVrqMsdTccpBmnQc/edit#gid=1145593933"",""1-12每月!$B5"")"),5872.0)</f>
        <v>5872</v>
      </c>
      <c r="AF5" s="83">
        <f>IFERROR(__xludf.DUMMYFUNCTION("IMPORTRANGE(""https://docs.google.com/spreadsheets/d/17hbKAHrpKLEbG3r9s1Ay3fOGzvOBzSu3Bn_CD4JNLhY/edit#gid=756408948"",""1-12每月!$B5"")"),6944.0)</f>
        <v>6944</v>
      </c>
      <c r="AG5" s="83">
        <f>IFERROR(__xludf.DUMMYFUNCTION("IMPORTRANGE(""https://docs.google.com/spreadsheets/d/1qeecSCKZ78ENQrsyUYpSNZqvo0-Y-uuGKFA1F06yLEM/edit#gid=874445072"",""1-12每月!$B5"")"),12699.0)</f>
        <v>12699</v>
      </c>
      <c r="AH5" s="83">
        <f>IFERROR(__xludf.DUMMYFUNCTION("IMPORTRANGE(""https://docs.google.com/spreadsheets/d/1BSX0y1fIKw9-3VTr627UzGVjwKe74kwBkuFnvlaueNo/edit#gid=1113655470"",""1-12每月!$B5"")"),6145.0)</f>
        <v>6145</v>
      </c>
      <c r="AI5" s="83">
        <f>IFERROR(__xludf.DUMMYFUNCTION("IMPORTRANGE(""https://docs.google.com/spreadsheets/d/1bQzlrSGiVqBrfQ6FKnw67vhBELFgthonryGzmQabVFQ/edit#gid=1015697053"",""1-12每月!$B5"")"),6147.0)</f>
        <v>6147</v>
      </c>
      <c r="AJ5" s="83">
        <f>IFERROR(__xludf.DUMMYFUNCTION("IMPORTRANGE(""https://docs.google.com/spreadsheets/d/1Pem-mgCz4CF6EUKNVxDQx16g9jie0F5YNDQ_cPnMHYs"",""1-12每月!$B5"")"),8084.0)</f>
        <v>8084</v>
      </c>
      <c r="AK5" s="83">
        <f>IFERROR(__xludf.DUMMYFUNCTION("IMPORTRANGE(""https://docs.google.com/spreadsheets/d/1ZoRtUl0m9T3TpY8H-9-ntNBO_zrYrgNKuAe_XfTeFnU"",""1-12每月!$B5"")"),6080.0)</f>
        <v>6080</v>
      </c>
      <c r="AL5" s="83">
        <f>IFERROR(__xludf.DUMMYFUNCTION("IMPORTRANGE(""https://docs.google.com/spreadsheets/d/1Y9Uv46r1nA3ixCGwTWZqhGQWDt4KVX4iXmhJgHL5CGQ"",""1-12每月!$B5"")"),7058.0)</f>
        <v>7058</v>
      </c>
      <c r="AM5" s="83">
        <f>IFERROR(__xludf.DUMMYFUNCTION("IMPORTRANGE(""https://docs.google.com/spreadsheets/d/1E3X732-CKfouAVQOwKyrePWwI1Bwg9NHD0VD42lyiu4/edit?gid=1513765949#gid=1513765949"",""1-12每月!$B5"")"),4411.0)</f>
        <v>4411</v>
      </c>
      <c r="AN5" s="83"/>
      <c r="AO5" s="83"/>
      <c r="AP5" s="83"/>
      <c r="AQ5" s="83"/>
      <c r="AR5" s="84"/>
    </row>
    <row r="6" ht="15.75" customHeight="1">
      <c r="A6" s="85">
        <v>2.0</v>
      </c>
      <c r="B6" s="83"/>
      <c r="C6" s="83"/>
      <c r="D6" s="83"/>
      <c r="E6" s="83"/>
      <c r="F6" s="83"/>
      <c r="G6" s="83"/>
      <c r="H6" s="83"/>
      <c r="I6" s="83"/>
      <c r="J6" s="83"/>
      <c r="K6" s="83">
        <v>9583.0</v>
      </c>
      <c r="L6" s="83">
        <v>13740.0</v>
      </c>
      <c r="M6" s="83">
        <f>IFERROR(__xludf.DUMMYFUNCTION("IMPORTRANGE(""https://docs.google.com/spreadsheets/d/1dffLfsI-BGVz-K0zdrsWfGaqrFfoLJAhq001merp6Rk/edit?usp=sharing"",""1-12每月!$F6"")"),11691.0)</f>
        <v>11691</v>
      </c>
      <c r="N6" s="83">
        <f>IFERROR(__xludf.DUMMYFUNCTION("IMPORTRANGE(""https://docs.google.com/spreadsheets/d/1SzxpZPUDnwxS8mSOLGEH5NbWU7ZW_VcRmIn7psOvuTs/edit#gid=1650312294?usp=sharing"",""1-12每月!$F6"")"),10233.0)</f>
        <v>10233</v>
      </c>
      <c r="O6" s="83">
        <f>IFERROR(__xludf.DUMMYFUNCTION("IMPORTRANGE(""https://docs.google.com/spreadsheets/d/1ta9i7cAkOPF0LapwmU_YEDA4IPQvKNuaYVMY8vIVPwI/edit#gid=1607741572?usp=sharing"",""1-12每月!$F6"")"),19058.0)</f>
        <v>19058</v>
      </c>
      <c r="P6" s="83">
        <f>IFERROR(__xludf.DUMMYFUNCTION("IMPORTRANGE(""https://docs.google.com/spreadsheets/d/1f4WWQfcNBonYqfzcaBhJlHzPwh34sx4U6naz-Aw2G4I/edit#gid=2097425894?usp=sharing"",""1-12每月!$B6"")"),18615.0)</f>
        <v>18615</v>
      </c>
      <c r="Q6" s="83">
        <f>IFERROR(__xludf.DUMMYFUNCTION("IMPORTRANGE(""https://docs.google.com/spreadsheets/d/1pCmmgCj7Y_SQPZLsiVd3yvND9oLyryVfBwNxC6OUwm8/edit#gid=170549058?usp=sharing"",""1-12每月!$B6"")"),9620.0)</f>
        <v>9620</v>
      </c>
      <c r="R6" s="83">
        <f>IFERROR(__xludf.DUMMYFUNCTION("IMPORTRANGE(""https://docs.google.com/spreadsheets/d/1hrRqxxacrLITR_JGMRVbhSRCIZIU8gAv0o_aOkHz68M/edit#gid=763155734?usp=sharing"",""1-12每月!$B6"")"),20541.0)</f>
        <v>20541</v>
      </c>
      <c r="S6" s="83">
        <f>IFERROR(__xludf.DUMMYFUNCTION("IMPORTRANGE(""https://docs.google.com/spreadsheets/d/1AKS3XWcgwNLFRbGU-lJ3UBHDQNdglvKwrv4_Bpp1IjU/edit#gid=73116376?usp=sharing"",""1-12每月!$B6"")"),13992.0)</f>
        <v>13992</v>
      </c>
      <c r="T6" s="83">
        <f>IFERROR(__xludf.DUMMYFUNCTION("IMPORTRANGE(""https://docs.google.com/spreadsheets/d/1wGGXGHkWT5JsjUDTy4FnHN_O9ae4MADbMykqIWVThNc/edit#gid=297806252?usp=sharing"",""1-12每月!$B6"")"),19866.0)</f>
        <v>19866</v>
      </c>
      <c r="U6" s="83">
        <f>IFERROR(__xludf.DUMMYFUNCTION("IMPORTRANGE(""https://docs.google.com/spreadsheets/d/1ShTgtQQDjMKpYx-TJ_lwdxnWSzJNUcNnzR3fJjoaZec/edit#gid=66107904?usp=sharing"",""1-12每月!$B6"")"),10007.0)</f>
        <v>10007</v>
      </c>
      <c r="V6" s="83">
        <f>IFERROR(__xludf.DUMMYFUNCTION("IMPORTRANGE(""https://docs.google.com/spreadsheets/d/1_eyuyKbXFCJd6fVFEKQwugwYCbRCmmWN_M7XR1dtOb8/edit#gid=951918895?usp=sharing"",""1-12每月!$B6"")"),7671.0)</f>
        <v>7671</v>
      </c>
      <c r="W6" s="83">
        <f>IFERROR(__xludf.DUMMYFUNCTION("IMPORTRANGE(""https://docs.google.com/spreadsheets/d/1yEpHI9_Y4w8sRmPP9C-mYK4NMfVuTJifGLMj4FMdqek/edit#gid=799087919?usp=sharing"",""1-12每月!$B6"")"),16152.0)</f>
        <v>16152</v>
      </c>
      <c r="X6" s="83">
        <f>IFERROR(__xludf.DUMMYFUNCTION("IMPORTRANGE(""https://docs.google.com/spreadsheets/d/1Vbyb9GlrY6jOwvoGyZFB96f7WXYjkT6gvTE37DPDXDI/edit#gid=9591526?usp=sharing"",""1-12每月!$B6"")"),12079.0)</f>
        <v>12079</v>
      </c>
      <c r="Y6" s="83">
        <f>IFERROR(__xludf.DUMMYFUNCTION("IMPORTRANGE(""https://docs.google.com/spreadsheets/d/1qeckoJwzWQAg8zQ80D-QJP4pnVYH6l2juaUyHtOu6y8/edit#gid=1905704096?usp=sharing"",""1-12每月!$B6"")"),9377.0)</f>
        <v>9377</v>
      </c>
      <c r="Z6" s="83">
        <f>IFERROR(__xludf.DUMMYFUNCTION("IMPORTRANGE(""https://docs.google.com/spreadsheets/d/1BcbIi7AD1VDpy_wMQ0YjCG-iuQy0_tkCVqr72a0Pwbg/edit#gid=1099513714?usp=sharing"",""1-12每月!$B6"")"),16406.0)</f>
        <v>16406</v>
      </c>
      <c r="AA6" s="83">
        <f>IFERROR(__xludf.DUMMYFUNCTION("IMPORTRANGE(""https://docs.google.com/spreadsheets/d/1cIFCQPaYiOmIt2O3vkEx5eto8sfRtx3JtAWJ1fv31HI/edit#gid=432689709?usp=sharing"",""1-12每月!$B6"")"),12127.0)</f>
        <v>12127</v>
      </c>
      <c r="AB6" s="83">
        <f>IFERROR(__xludf.DUMMYFUNCTION("IMPORTRANGE(""https://docs.google.com/spreadsheets/d/1C8ECYlbes2CJkHHGOAyOYVfrP7PdlGr8RMjK7KZd0_o/edit#gid=495469277?usp=sharing"",""1-12每月!$B6"")"),13639.0)</f>
        <v>13639</v>
      </c>
      <c r="AC6" s="83">
        <f>IFERROR(__xludf.DUMMYFUNCTION("IMPORTRANGE(""https://docs.google.com/spreadsheets/d/1ettcrhLPK6tkvHZxDTyU2bGIpGSi2ynG91ln0fqz9iE/edit#gid=1364213386?usp=sharing"",""1-12每月!$B6"")"),17035.0)</f>
        <v>17035</v>
      </c>
      <c r="AD6" s="83">
        <f>IFERROR(__xludf.DUMMYFUNCTION("IMPORTRANGE(""https://docs.google.com/spreadsheets/d/1xUhm-MtqzfUO8M5WEWVv9w2EFkv5_PHMOsAlA3CcCWU/edit#gid=1700470961?usp=sharing"",""1-12每月!$B6"")"),10212.0)</f>
        <v>10212</v>
      </c>
      <c r="AE6" s="83">
        <f>IFERROR(__xludf.DUMMYFUNCTION("IMPORTRANGE(""https://docs.google.com/spreadsheets/d/1DP8wl0QQLYSZ8R2aQ8wNmiAUXn7lVrqMsdTccpBmnQc/edit#gid=1145593933?usp=sharing"",""1-12每月!$B6"")"),10210.0)</f>
        <v>10210</v>
      </c>
      <c r="AF6" s="83">
        <f>IFERROR(__xludf.DUMMYFUNCTION("IMPORTRANGE(""https://docs.google.com/spreadsheets/d/17hbKAHrpKLEbG3r9s1Ay3fOGzvOBzSu3Bn_CD4JNLhY/edit#gid=756408948?usp=sharing"",""1-12每月!$B6"")"),15082.0)</f>
        <v>15082</v>
      </c>
      <c r="AG6" s="83">
        <f>IFERROR(__xludf.DUMMYFUNCTION("IMPORTRANGE(""https://docs.google.com/spreadsheets/d/1qeecSCKZ78ENQrsyUYpSNZqvo0-Y-uuGKFA1F06yLEM/edit#gid=874445072?usp=sharing"",""1-12每月!$B6"")"),8075.0)</f>
        <v>8075</v>
      </c>
      <c r="AH6" s="83">
        <f>IFERROR(__xludf.DUMMYFUNCTION("IMPORTRANGE(""https://docs.google.com/spreadsheets/d/1BSX0y1fIKw9-3VTr627UzGVjwKe74kwBkuFnvlaueNo/edit#gid=1113655470"",""1-12每月!$B6"")"),12601.0)</f>
        <v>12601</v>
      </c>
      <c r="AI6" s="83">
        <f>IFERROR(__xludf.DUMMYFUNCTION("IMPORTRANGE(""https://docs.google.com/spreadsheets/d/1bQzlrSGiVqBrfQ6FKnw67vhBELFgthonryGzmQabVFQ/edit#gid=1015697053"",""1-12每月!$B6"")"),11301.0)</f>
        <v>11301</v>
      </c>
      <c r="AJ6" s="83">
        <f>IFERROR(__xludf.DUMMYFUNCTION("IMPORTRANGE(""https://docs.google.com/spreadsheets/d/1Pem-mgCz4CF6EUKNVxDQx16g9jie0F5YNDQ_cPnMHYs"",""1-12每月!$B6"")"),6701.0)</f>
        <v>6701</v>
      </c>
      <c r="AK6" s="83">
        <f>IFERROR(__xludf.DUMMYFUNCTION("IMPORTRANGE(""https://docs.google.com/spreadsheets/d/1ZoRtUl0m9T3TpY8H-9-ntNBO_zrYrgNKuAe_XfTeFnU"",""1-12每月!$B6"")"),9623.0)</f>
        <v>9623</v>
      </c>
      <c r="AL6" s="83">
        <f>IFERROR(__xludf.DUMMYFUNCTION("IMPORTRANGE(""https://docs.google.com/spreadsheets/d/1Y9Uv46r1nA3ixCGwTWZqhGQWDt4KVX4iXmhJgHL5CGQ"",""1-12每月!$B6"")"),6887.0)</f>
        <v>6887</v>
      </c>
      <c r="AM6" s="83">
        <f>IFERROR(__xludf.DUMMYFUNCTION("IMPORTRANGE(""https://docs.google.com/spreadsheets/d/1E3X732-CKfouAVQOwKyrePWwI1Bwg9NHD0VD42lyiu4/edit?gid=1513765949#gid=1513765949"",""1-12每月!$B6"")"),8626.0)</f>
        <v>8626</v>
      </c>
      <c r="AN6" s="83"/>
      <c r="AO6" s="83"/>
      <c r="AP6" s="83"/>
      <c r="AQ6" s="83"/>
      <c r="AR6" s="84"/>
    </row>
    <row r="7" ht="15.75" customHeight="1">
      <c r="A7" s="85">
        <v>3.0</v>
      </c>
      <c r="B7" s="83"/>
      <c r="C7" s="83"/>
      <c r="D7" s="83"/>
      <c r="E7" s="83"/>
      <c r="F7" s="83"/>
      <c r="G7" s="83"/>
      <c r="H7" s="83"/>
      <c r="I7" s="83"/>
      <c r="J7" s="83"/>
      <c r="K7" s="83">
        <v>13329.0</v>
      </c>
      <c r="L7" s="83">
        <v>18483.0</v>
      </c>
      <c r="M7" s="83">
        <f>IFERROR(__xludf.DUMMYFUNCTION("IMPORTRANGE(""https://docs.google.com/spreadsheets/d/1dffLfsI-BGVz-K0zdrsWfGaqrFfoLJAhq001merp6Rk/edit?usp=sharing"",""1-12每月!$F7"")"),14011.0)</f>
        <v>14011</v>
      </c>
      <c r="N7" s="83">
        <f>IFERROR(__xludf.DUMMYFUNCTION("IMPORTRANGE(""https://docs.google.com/spreadsheets/d/1SzxpZPUDnwxS8mSOLGEH5NbWU7ZW_VcRmIn7psOvuTs/edit#gid=1650312294?usp=sharing"",""1-12每月!$F7"")"),13924.0)</f>
        <v>13924</v>
      </c>
      <c r="O7" s="83">
        <f>IFERROR(__xludf.DUMMYFUNCTION("IMPORTRANGE(""https://docs.google.com/spreadsheets/d/1ta9i7cAkOPF0LapwmU_YEDA4IPQvKNuaYVMY8vIVPwI/edit#gid=1607741572?usp=sharing"",""1-12每月!$F7"")"),19443.0)</f>
        <v>19443</v>
      </c>
      <c r="P7" s="83">
        <f>IFERROR(__xludf.DUMMYFUNCTION("IMPORTRANGE(""https://docs.google.com/spreadsheets/d/1f4WWQfcNBonYqfzcaBhJlHzPwh34sx4U6naz-Aw2G4I/edit#gid=2097425894?usp=sharing"",""1-12每月!$B7"")"),15928.0)</f>
        <v>15928</v>
      </c>
      <c r="Q7" s="83">
        <f>IFERROR(__xludf.DUMMYFUNCTION("IMPORTRANGE(""https://docs.google.com/spreadsheets/d/1pCmmgCj7Y_SQPZLsiVd3yvND9oLyryVfBwNxC6OUwm8/edit#gid=170549058?usp=sharing"",""1-12每月!$B7"")"),13275.0)</f>
        <v>13275</v>
      </c>
      <c r="R7" s="83">
        <f>IFERROR(__xludf.DUMMYFUNCTION("IMPORTRANGE(""https://docs.google.com/spreadsheets/d/1hrRqxxacrLITR_JGMRVbhSRCIZIU8gAv0o_aOkHz68M/edit#gid=763155734?usp=sharing"",""1-12每月!$B7"")"),13759.0)</f>
        <v>13759</v>
      </c>
      <c r="S7" s="83">
        <f>IFERROR(__xludf.DUMMYFUNCTION("IMPORTRANGE(""https://docs.google.com/spreadsheets/d/1AKS3XWcgwNLFRbGU-lJ3UBHDQNdglvKwrv4_Bpp1IjU/edit#gid=73116376?usp=sharing"",""1-12每月!$B7"")"),12799.0)</f>
        <v>12799</v>
      </c>
      <c r="T7" s="83">
        <f>IFERROR(__xludf.DUMMYFUNCTION("IMPORTRANGE(""https://docs.google.com/spreadsheets/d/1wGGXGHkWT5JsjUDTy4FnHN_O9ae4MADbMykqIWVThNc/edit#gid=297806252?usp=sharing"",""1-12每月!$B7"")"),12134.0)</f>
        <v>12134</v>
      </c>
      <c r="U7" s="83">
        <f>IFERROR(__xludf.DUMMYFUNCTION("IMPORTRANGE(""https://docs.google.com/spreadsheets/d/1ShTgtQQDjMKpYx-TJ_lwdxnWSzJNUcNnzR3fJjoaZec/edit#gid=66107904?usp=sharing"",""1-12每月!$B7"")"),10642.0)</f>
        <v>10642</v>
      </c>
      <c r="V7" s="83">
        <f>IFERROR(__xludf.DUMMYFUNCTION("IMPORTRANGE(""https://docs.google.com/spreadsheets/d/1_eyuyKbXFCJd6fVFEKQwugwYCbRCmmWN_M7XR1dtOb8/edit#gid=951918895?usp=sharing"",""1-12每月!$B7"")"),12476.0)</f>
        <v>12476</v>
      </c>
      <c r="W7" s="83">
        <f>IFERROR(__xludf.DUMMYFUNCTION("IMPORTRANGE(""https://docs.google.com/spreadsheets/d/1yEpHI9_Y4w8sRmPP9C-mYK4NMfVuTJifGLMj4FMdqek/edit#gid=799087919?usp=sharing"",""1-12每月!$B7"")"),9300.0)</f>
        <v>9300</v>
      </c>
      <c r="X7" s="83">
        <f>IFERROR(__xludf.DUMMYFUNCTION("IMPORTRANGE(""https://docs.google.com/spreadsheets/d/1Vbyb9GlrY6jOwvoGyZFB96f7WXYjkT6gvTE37DPDXDI/edit#gid=9591526?usp=sharing"",""1-12每月!$B7"")"),8502.0)</f>
        <v>8502</v>
      </c>
      <c r="Y7" s="83">
        <f>IFERROR(__xludf.DUMMYFUNCTION("IMPORTRANGE(""https://docs.google.com/spreadsheets/d/1qeckoJwzWQAg8zQ80D-QJP4pnVYH6l2juaUyHtOu6y8/edit#gid=1905704096?usp=sharing"",""1-12每月!$B7"")"),9617.0)</f>
        <v>9617</v>
      </c>
      <c r="Z7" s="83">
        <f>IFERROR(__xludf.DUMMYFUNCTION("IMPORTRANGE(""https://docs.google.com/spreadsheets/d/1BcbIi7AD1VDpy_wMQ0YjCG-iuQy0_tkCVqr72a0Pwbg/edit#gid=1099513714?usp=sharing"",""1-12每月!$B7"")"),11160.0)</f>
        <v>11160</v>
      </c>
      <c r="AA7" s="83">
        <f>IFERROR(__xludf.DUMMYFUNCTION("IMPORTRANGE(""https://docs.google.com/spreadsheets/d/1cIFCQPaYiOmIt2O3vkEx5eto8sfRtx3JtAWJ1fv31HI/edit#gid=432689709?usp=sharing"",""1-12每月!$B7"")"),14000.0)</f>
        <v>14000</v>
      </c>
      <c r="AB7" s="83">
        <f>IFERROR(__xludf.DUMMYFUNCTION("IMPORTRANGE(""https://docs.google.com/spreadsheets/d/1C8ECYlbes2CJkHHGOAyOYVfrP7PdlGr8RMjK7KZd0_o/edit#gid=495469277?usp=sharing"",""1-12每月!$B7"")"),16637.0)</f>
        <v>16637</v>
      </c>
      <c r="AC7" s="83">
        <f>IFERROR(__xludf.DUMMYFUNCTION("IMPORTRANGE(""https://docs.google.com/spreadsheets/d/1ettcrhLPK6tkvHZxDTyU2bGIpGSi2ynG91ln0fqz9iE/edit#gid=1364213386?usp=sharing"",""1-12每月!$B7"")"),13340.0)</f>
        <v>13340</v>
      </c>
      <c r="AD7" s="83">
        <f>IFERROR(__xludf.DUMMYFUNCTION("IMPORTRANGE(""https://docs.google.com/spreadsheets/d/1xUhm-MtqzfUO8M5WEWVv9w2EFkv5_PHMOsAlA3CcCWU/edit#gid=1700470961?usp=sharing"",""1-12每月!$B7"")"),11787.0)</f>
        <v>11787</v>
      </c>
      <c r="AE7" s="83">
        <f>IFERROR(__xludf.DUMMYFUNCTION("IMPORTRANGE(""https://docs.google.com/spreadsheets/d/1DP8wl0QQLYSZ8R2aQ8wNmiAUXn7lVrqMsdTccpBmnQc/edit#gid=1145593933?usp=sharing"",""1-12每月!$B7"")"),13213.0)</f>
        <v>13213</v>
      </c>
      <c r="AF7" s="83">
        <f>IFERROR(__xludf.DUMMYFUNCTION("IMPORTRANGE(""https://docs.google.com/spreadsheets/d/17hbKAHrpKLEbG3r9s1Ay3fOGzvOBzSu3Bn_CD4JNLhY/edit#gid=756408948?usp=sharing"",""1-12每月!$B7"")"),15220.0)</f>
        <v>15220</v>
      </c>
      <c r="AG7" s="83">
        <f>IFERROR(__xludf.DUMMYFUNCTION("IMPORTRANGE(""https://docs.google.com/spreadsheets/d/1qeecSCKZ78ENQrsyUYpSNZqvo0-Y-uuGKFA1F06yLEM/edit#gid=874445072?usp=sharing"",""1-12每月!$B7"")"),9832.0)</f>
        <v>9832</v>
      </c>
      <c r="AH7" s="83">
        <f>IFERROR(__xludf.DUMMYFUNCTION("IMPORTRANGE(""https://docs.google.com/spreadsheets/d/1BSX0y1fIKw9-3VTr627UzGVjwKe74kwBkuFnvlaueNo/edit#gid=1113655470"",""1-12每月!$B7"")"),14964.0)</f>
        <v>14964</v>
      </c>
      <c r="AI7" s="83">
        <f>IFERROR(__xludf.DUMMYFUNCTION("IMPORTRANGE(""https://docs.google.com/spreadsheets/d/1bQzlrSGiVqBrfQ6FKnw67vhBELFgthonryGzmQabVFQ/edit#gid=1015697053"",""1-12每月!$B7"")"),14914.0)</f>
        <v>14914</v>
      </c>
      <c r="AJ7" s="83">
        <f>IFERROR(__xludf.DUMMYFUNCTION("IMPORTRANGE(""https://docs.google.com/spreadsheets/d/1Pem-mgCz4CF6EUKNVxDQx16g9jie0F5YNDQ_cPnMHYs"",""1-12每月!$B7"")"),14326.0)</f>
        <v>14326</v>
      </c>
      <c r="AK7" s="83">
        <f>IFERROR(__xludf.DUMMYFUNCTION("IMPORTRANGE(""https://docs.google.com/spreadsheets/d/1ZoRtUl0m9T3TpY8H-9-ntNBO_zrYrgNKuAe_XfTeFnU"",""1-12每月!$B7"")"),11879.0)</f>
        <v>11879</v>
      </c>
      <c r="AL7" s="83">
        <f>IFERROR(__xludf.DUMMYFUNCTION("IMPORTRANGE(""https://docs.google.com/spreadsheets/d/1Y9Uv46r1nA3ixCGwTWZqhGQWDt4KVX4iXmhJgHL5CGQ"",""1-12每月!$B7"")"),11892.0)</f>
        <v>11892</v>
      </c>
      <c r="AM7" s="83">
        <f>IFERROR(__xludf.DUMMYFUNCTION("IMPORTRANGE(""https://docs.google.com/spreadsheets/d/1E3X732-CKfouAVQOwKyrePWwI1Bwg9NHD0VD42lyiu4/edit?gid=1513765949#gid=1513765949"",""1-12每月!$B7"")"),9959.0)</f>
        <v>9959</v>
      </c>
      <c r="AN7" s="83"/>
      <c r="AO7" s="83"/>
      <c r="AP7" s="83"/>
      <c r="AQ7" s="83"/>
      <c r="AR7" s="84"/>
    </row>
    <row r="8" ht="15.75" customHeight="1">
      <c r="A8" s="85">
        <v>4.0</v>
      </c>
      <c r="B8" s="83"/>
      <c r="C8" s="83"/>
      <c r="D8" s="83"/>
      <c r="E8" s="83"/>
      <c r="F8" s="83"/>
      <c r="G8" s="83"/>
      <c r="H8" s="83"/>
      <c r="I8" s="83"/>
      <c r="J8" s="83"/>
      <c r="K8" s="83">
        <v>24581.0</v>
      </c>
      <c r="L8" s="83">
        <v>36838.0</v>
      </c>
      <c r="M8" s="83">
        <f>IFERROR(__xludf.DUMMYFUNCTION("IMPORTRANGE(""https://docs.google.com/spreadsheets/d/1dffLfsI-BGVz-K0zdrsWfGaqrFfoLJAhq001merp6Rk/edit?usp=sharing"",""1-12每月!$F8"")"),39242.0)</f>
        <v>39242</v>
      </c>
      <c r="N8" s="83">
        <f>IFERROR(__xludf.DUMMYFUNCTION("IMPORTRANGE(""https://docs.google.com/spreadsheets/d/1SzxpZPUDnwxS8mSOLGEH5NbWU7ZW_VcRmIn7psOvuTs/edit#gid=1650312294?usp=sharing"",""1-12每月!$F8"")"),36730.0)</f>
        <v>36730</v>
      </c>
      <c r="O8" s="83">
        <f>IFERROR(__xludf.DUMMYFUNCTION("IMPORTRANGE(""https://docs.google.com/spreadsheets/d/1ta9i7cAkOPF0LapwmU_YEDA4IPQvKNuaYVMY8vIVPwI/edit#gid=1607741572?usp=sharing"",""1-12每月!$F8"")"),34571.0)</f>
        <v>34571</v>
      </c>
      <c r="P8" s="83">
        <f>IFERROR(__xludf.DUMMYFUNCTION("IMPORTRANGE(""https://docs.google.com/spreadsheets/d/1f4WWQfcNBonYqfzcaBhJlHzPwh34sx4U6naz-Aw2G4I/edit#gid=2097425894?usp=sharing"",""1-12每月!$B8"")"),20807.0)</f>
        <v>20807</v>
      </c>
      <c r="Q8" s="83">
        <f>IFERROR(__xludf.DUMMYFUNCTION("IMPORTRANGE(""https://docs.google.com/spreadsheets/d/1pCmmgCj7Y_SQPZLsiVd3yvND9oLyryVfBwNxC6OUwm8/edit#gid=170549058?usp=sharing"",""1-12每月!$B8"")"),28422.0)</f>
        <v>28422</v>
      </c>
      <c r="R8" s="83">
        <f>IFERROR(__xludf.DUMMYFUNCTION("IMPORTRANGE(""https://docs.google.com/spreadsheets/d/1hrRqxxacrLITR_JGMRVbhSRCIZIU8gAv0o_aOkHz68M/edit#gid=763155734?usp=sharing"",""1-12每月!$B8"")"),36559.0)</f>
        <v>36559</v>
      </c>
      <c r="S8" s="83">
        <f>IFERROR(__xludf.DUMMYFUNCTION("IMPORTRANGE(""https://docs.google.com/spreadsheets/d/1AKS3XWcgwNLFRbGU-lJ3UBHDQNdglvKwrv4_Bpp1IjU/edit#gid=73116376?usp=sharing"",""1-12每月!$B8"")"),36092.0)</f>
        <v>36092</v>
      </c>
      <c r="T8" s="83">
        <f>IFERROR(__xludf.DUMMYFUNCTION("IMPORTRANGE(""https://docs.google.com/spreadsheets/d/1wGGXGHkWT5JsjUDTy4FnHN_O9ae4MADbMykqIWVThNc/edit#gid=297806252?usp=sharing"",""1-12每月!$B8"")"),32111.0)</f>
        <v>32111</v>
      </c>
      <c r="U8" s="83">
        <f>IFERROR(__xludf.DUMMYFUNCTION("IMPORTRANGE(""https://docs.google.com/spreadsheets/d/1ShTgtQQDjMKpYx-TJ_lwdxnWSzJNUcNnzR3fJjoaZec/edit#gid=66107904?usp=sharing"",""1-12每月!$B8"")"),26195.0)</f>
        <v>26195</v>
      </c>
      <c r="V8" s="83">
        <f>IFERROR(__xludf.DUMMYFUNCTION("IMPORTRANGE(""https://docs.google.com/spreadsheets/d/1_eyuyKbXFCJd6fVFEKQwugwYCbRCmmWN_M7XR1dtOb8/edit#gid=951918895?usp=sharing"",""1-12每月!$B8"")"),23030.0)</f>
        <v>23030</v>
      </c>
      <c r="W8" s="83">
        <f>IFERROR(__xludf.DUMMYFUNCTION("IMPORTRANGE(""https://docs.google.com/spreadsheets/d/1yEpHI9_Y4w8sRmPP9C-mYK4NMfVuTJifGLMj4FMdqek/edit#gid=799087919?usp=sharing"",""1-12每月!$B8"")"),27871.0)</f>
        <v>27871</v>
      </c>
      <c r="X8" s="83">
        <f>IFERROR(__xludf.DUMMYFUNCTION("IMPORTRANGE(""https://docs.google.com/spreadsheets/d/1Vbyb9GlrY6jOwvoGyZFB96f7WXYjkT6gvTE37DPDXDI/edit#gid=9591526?usp=sharing"",""1-12每月!$B8"")"),29269.0)</f>
        <v>29269</v>
      </c>
      <c r="Y8" s="83">
        <f>IFERROR(__xludf.DUMMYFUNCTION("IMPORTRANGE(""https://docs.google.com/spreadsheets/d/1qeckoJwzWQAg8zQ80D-QJP4pnVYH6l2juaUyHtOu6y8/edit#gid=1905704096?usp=sharing"",""1-12每月!$B8"")"),27641.0)</f>
        <v>27641</v>
      </c>
      <c r="Z8" s="83">
        <f>IFERROR(__xludf.DUMMYFUNCTION("IMPORTRANGE(""https://docs.google.com/spreadsheets/d/1BcbIi7AD1VDpy_wMQ0YjCG-iuQy0_tkCVqr72a0Pwbg/edit#gid=1099513714?usp=sharing"",""1-12每月!$B8"")"),32678.0)</f>
        <v>32678</v>
      </c>
      <c r="AA8" s="83">
        <f>IFERROR(__xludf.DUMMYFUNCTION("IMPORTRANGE(""https://docs.google.com/spreadsheets/d/1cIFCQPaYiOmIt2O3vkEx5eto8sfRtx3JtAWJ1fv31HI/edit#gid=432689709?usp=sharing"",""1-12每月!$B8"")"),33239.0)</f>
        <v>33239</v>
      </c>
      <c r="AB8" s="83">
        <f>IFERROR(__xludf.DUMMYFUNCTION("IMPORTRANGE(""https://docs.google.com/spreadsheets/d/1C8ECYlbes2CJkHHGOAyOYVfrP7PdlGr8RMjK7KZd0_o/edit#gid=495469277?usp=sharing"",""1-12每月!$B8"")"),35206.0)</f>
        <v>35206</v>
      </c>
      <c r="AC8" s="83">
        <f>IFERROR(__xludf.DUMMYFUNCTION("IMPORTRANGE(""https://docs.google.com/spreadsheets/d/1ettcrhLPK6tkvHZxDTyU2bGIpGSi2ynG91ln0fqz9iE/edit#gid=1364213386?usp=sharing"",""1-12每月!$B8"")"),37540.0)</f>
        <v>37540</v>
      </c>
      <c r="AD8" s="83">
        <f>IFERROR(__xludf.DUMMYFUNCTION("IMPORTRANGE(""https://docs.google.com/spreadsheets/d/1xUhm-MtqzfUO8M5WEWVv9w2EFkv5_PHMOsAlA3CcCWU/edit#gid=1700470961?usp=sharing"",""1-12每月!$B8"")"),36627.0)</f>
        <v>36627</v>
      </c>
      <c r="AE8" s="83">
        <f>IFERROR(__xludf.DUMMYFUNCTION("IMPORTRANGE(""https://docs.google.com/spreadsheets/d/1DP8wl0QQLYSZ8R2aQ8wNmiAUXn7lVrqMsdTccpBmnQc/edit#gid=1145593933?usp=sharing"",""1-12每月!$B8"")"),42587.0)</f>
        <v>42587</v>
      </c>
      <c r="AF8" s="83">
        <f>IFERROR(__xludf.DUMMYFUNCTION("IMPORTRANGE(""https://docs.google.com/spreadsheets/d/17hbKAHrpKLEbG3r9s1Ay3fOGzvOBzSu3Bn_CD4JNLhY/edit#gid=756408948?usp=sharing"",""1-12每月!$B8"")"),35499.0)</f>
        <v>35499</v>
      </c>
      <c r="AG8" s="83">
        <f>IFERROR(__xludf.DUMMYFUNCTION("IMPORTRANGE(""https://docs.google.com/spreadsheets/d/1qeecSCKZ78ENQrsyUYpSNZqvo0-Y-uuGKFA1F06yLEM/edit#gid=874445072?usp=sharing"",""1-12每月!$B8"")"),12902.0)</f>
        <v>12902</v>
      </c>
      <c r="AH8" s="83">
        <f>IFERROR(__xludf.DUMMYFUNCTION("IMPORTRANGE(""https://docs.google.com/spreadsheets/d/1BSX0y1fIKw9-3VTr627UzGVjwKe74kwBkuFnvlaueNo/edit#gid=1113655470"",""1-12每月!$B8"")"),34133.0)</f>
        <v>34133</v>
      </c>
      <c r="AI8" s="83">
        <f>IFERROR(__xludf.DUMMYFUNCTION("IMPORTRANGE(""https://docs.google.com/spreadsheets/d/1bQzlrSGiVqBrfQ6FKnw67vhBELFgthonryGzmQabVFQ/edit#gid=1015697053"",""1-12每月!$B8"")"),32961.0)</f>
        <v>32961</v>
      </c>
      <c r="AJ8" s="83">
        <f>IFERROR(__xludf.DUMMYFUNCTION("IMPORTRANGE(""https://docs.google.com/spreadsheets/d/1Pem-mgCz4CF6EUKNVxDQx16g9jie0F5YNDQ_cPnMHYs"",""1-12每月!$B8"")"),42306.0)</f>
        <v>42306</v>
      </c>
      <c r="AK8" s="83">
        <f>IFERROR(__xludf.DUMMYFUNCTION("IMPORTRANGE(""https://docs.google.com/spreadsheets/d/1ZoRtUl0m9T3TpY8H-9-ntNBO_zrYrgNKuAe_XfTeFnU"",""1-12每月!$B8"")"),27941.0)</f>
        <v>27941</v>
      </c>
      <c r="AL8" s="83">
        <f>IFERROR(__xludf.DUMMYFUNCTION("IMPORTRANGE(""https://docs.google.com/spreadsheets/d/1Y9Uv46r1nA3ixCGwTWZqhGQWDt4KVX4iXmhJgHL5CGQ"",""1-12每月!$B8"")"),28543.0)</f>
        <v>28543</v>
      </c>
      <c r="AM8" s="83">
        <f>IFERROR(__xludf.DUMMYFUNCTION("IMPORTRANGE(""https://docs.google.com/spreadsheets/d/1E3X732-CKfouAVQOwKyrePWwI1Bwg9NHD0VD42lyiu4/edit?gid=1513765949#gid=1513765949"",""1-12每月!$B8"")"),25851.0)</f>
        <v>25851</v>
      </c>
      <c r="AN8" s="83"/>
      <c r="AO8" s="83"/>
      <c r="AP8" s="83"/>
      <c r="AQ8" s="83"/>
      <c r="AR8" s="84"/>
    </row>
    <row r="9" ht="15.75" customHeight="1">
      <c r="A9" s="85">
        <v>5.0</v>
      </c>
      <c r="B9" s="83"/>
      <c r="C9" s="83"/>
      <c r="D9" s="83"/>
      <c r="E9" s="83"/>
      <c r="F9" s="83"/>
      <c r="G9" s="83"/>
      <c r="H9" s="83"/>
      <c r="I9" s="83"/>
      <c r="J9" s="83"/>
      <c r="K9" s="83">
        <v>28788.0</v>
      </c>
      <c r="L9" s="83">
        <v>35164.0</v>
      </c>
      <c r="M9" s="83">
        <f>IFERROR(__xludf.DUMMYFUNCTION("IMPORTRANGE(""https://docs.google.com/spreadsheets/d/1dffLfsI-BGVz-K0zdrsWfGaqrFfoLJAhq001merp6Rk/edit?usp=sharing"",""1-12每月!$F9"")"),32395.0)</f>
        <v>32395</v>
      </c>
      <c r="N9" s="83">
        <f>IFERROR(__xludf.DUMMYFUNCTION("IMPORTRANGE(""https://docs.google.com/spreadsheets/d/1SzxpZPUDnwxS8mSOLGEH5NbWU7ZW_VcRmIn7psOvuTs/edit#gid=1650312294?usp=sharing"",""1-12每月!$F9"")"),36387.0)</f>
        <v>36387</v>
      </c>
      <c r="O9" s="83">
        <f>IFERROR(__xludf.DUMMYFUNCTION("IMPORTRANGE(""https://docs.google.com/spreadsheets/d/1ta9i7cAkOPF0LapwmU_YEDA4IPQvKNuaYVMY8vIVPwI/edit#gid=1607741572?usp=sharing"",""1-12每月!$F9"")"),30490.0)</f>
        <v>30490</v>
      </c>
      <c r="P9" s="83">
        <f>IFERROR(__xludf.DUMMYFUNCTION("IMPORTRANGE(""https://docs.google.com/spreadsheets/d/1f4WWQfcNBonYqfzcaBhJlHzPwh34sx4U6naz-Aw2G4I/edit#gid=2097425894?usp=sharing"",""1-12每月!$B9"")"),14539.0)</f>
        <v>14539</v>
      </c>
      <c r="Q9" s="83">
        <f>IFERROR(__xludf.DUMMYFUNCTION("IMPORTRANGE(""https://docs.google.com/spreadsheets/d/1pCmmgCj7Y_SQPZLsiVd3yvND9oLyryVfBwNxC6OUwm8/edit#gid=170549058?usp=sharing"",""1-12每月!$B9"")"),45411.0)</f>
        <v>45411</v>
      </c>
      <c r="R9" s="83">
        <f>IFERROR(__xludf.DUMMYFUNCTION("IMPORTRANGE(""https://docs.google.com/spreadsheets/d/1hrRqxxacrLITR_JGMRVbhSRCIZIU8gAv0o_aOkHz68M/edit#gid=763155734?usp=sharing"",""1-12每月!$B9"")"),50776.0)</f>
        <v>50776</v>
      </c>
      <c r="S9" s="83">
        <f>IFERROR(__xludf.DUMMYFUNCTION("IMPORTRANGE(""https://docs.google.com/spreadsheets/d/1AKS3XWcgwNLFRbGU-lJ3UBHDQNdglvKwrv4_Bpp1IjU/edit#gid=73116376?usp=sharing"",""1-12每月!$B9"")"),36203.0)</f>
        <v>36203</v>
      </c>
      <c r="T9" s="83">
        <f>IFERROR(__xludf.DUMMYFUNCTION("IMPORTRANGE(""https://docs.google.com/spreadsheets/d/1wGGXGHkWT5JsjUDTy4FnHN_O9ae4MADbMykqIWVThNc/edit#gid=297806252?usp=sharing"",""1-12每月!$B9"")"),35476.0)</f>
        <v>35476</v>
      </c>
      <c r="U9" s="83">
        <f>IFERROR(__xludf.DUMMYFUNCTION("IMPORTRANGE(""https://docs.google.com/spreadsheets/d/1ShTgtQQDjMKpYx-TJ_lwdxnWSzJNUcNnzR3fJjoaZec/edit#gid=66107904?usp=sharing"",""1-12每月!$B9"")"),40663.0)</f>
        <v>40663</v>
      </c>
      <c r="V9" s="83">
        <f>IFERROR(__xludf.DUMMYFUNCTION("IMPORTRANGE(""https://docs.google.com/spreadsheets/d/1_eyuyKbXFCJd6fVFEKQwugwYCbRCmmWN_M7XR1dtOb8/edit#gid=951918895?usp=sharing"",""1-12每月!$B9"")"),44363.0)</f>
        <v>44363</v>
      </c>
      <c r="W9" s="83">
        <f>IFERROR(__xludf.DUMMYFUNCTION("IMPORTRANGE(""https://docs.google.com/spreadsheets/d/1yEpHI9_Y4w8sRmPP9C-mYK4NMfVuTJifGLMj4FMdqek/edit#gid=799087919?usp=sharing"",""1-12每月!$B9"")"),34975.0)</f>
        <v>34975</v>
      </c>
      <c r="X9" s="83">
        <f>IFERROR(__xludf.DUMMYFUNCTION("IMPORTRANGE(""https://docs.google.com/spreadsheets/d/1Vbyb9GlrY6jOwvoGyZFB96f7WXYjkT6gvTE37DPDXDI/edit#gid=9591526?usp=sharing"",""1-12每月!$B9"")"),24380.0)</f>
        <v>24380</v>
      </c>
      <c r="Y9" s="83">
        <f>IFERROR(__xludf.DUMMYFUNCTION("IMPORTRANGE(""https://docs.google.com/spreadsheets/d/1qeckoJwzWQAg8zQ80D-QJP4pnVYH6l2juaUyHtOu6y8/edit#gid=1905704096?usp=sharing"",""1-12每月!$B9"")"),33752.0)</f>
        <v>33752</v>
      </c>
      <c r="Z9" s="83">
        <f>IFERROR(__xludf.DUMMYFUNCTION("IMPORTRANGE(""https://docs.google.com/spreadsheets/d/1BcbIi7AD1VDpy_wMQ0YjCG-iuQy0_tkCVqr72a0Pwbg/edit#gid=1099513714?usp=sharing"",""1-12每月!$B9"")"),33999.0)</f>
        <v>33999</v>
      </c>
      <c r="AA9" s="83">
        <f>IFERROR(__xludf.DUMMYFUNCTION("IMPORTRANGE(""https://docs.google.com/spreadsheets/d/1cIFCQPaYiOmIt2O3vkEx5eto8sfRtx3JtAWJ1fv31HI/edit#gid=432689709?usp=sharing"",""1-12每月!$B9"")"),41909.0)</f>
        <v>41909</v>
      </c>
      <c r="AB9" s="83">
        <f>IFERROR(__xludf.DUMMYFUNCTION("IMPORTRANGE(""https://docs.google.com/spreadsheets/d/1C8ECYlbes2CJkHHGOAyOYVfrP7PdlGr8RMjK7KZd0_o/edit#gid=495469277?usp=sharing"",""1-12每月!$B9"")"),45022.0)</f>
        <v>45022</v>
      </c>
      <c r="AC9" s="83">
        <f>IFERROR(__xludf.DUMMYFUNCTION("IMPORTRANGE(""https://docs.google.com/spreadsheets/d/1ettcrhLPK6tkvHZxDTyU2bGIpGSi2ynG91ln0fqz9iE/edit#gid=1364213386?usp=sharing"",""1-12每月!$B9"")"),43702.0)</f>
        <v>43702</v>
      </c>
      <c r="AD9" s="83">
        <f>IFERROR(__xludf.DUMMYFUNCTION("IMPORTRANGE(""https://docs.google.com/spreadsheets/d/1xUhm-MtqzfUO8M5WEWVv9w2EFkv5_PHMOsAlA3CcCWU/edit#gid=1700470961?usp=sharing"",""1-12每月!$B9"")"),42393.0)</f>
        <v>42393</v>
      </c>
      <c r="AE9" s="83">
        <f>IFERROR(__xludf.DUMMYFUNCTION("IMPORTRANGE(""https://docs.google.com/spreadsheets/d/1DP8wl0QQLYSZ8R2aQ8wNmiAUXn7lVrqMsdTccpBmnQc/edit#gid=1145593933?usp=sharing"",""1-12每月!$B9"")"),39920.0)</f>
        <v>39920</v>
      </c>
      <c r="AF9" s="83">
        <f>IFERROR(__xludf.DUMMYFUNCTION("IMPORTRANGE(""https://docs.google.com/spreadsheets/d/17hbKAHrpKLEbG3r9s1Ay3fOGzvOBzSu3Bn_CD4JNLhY/edit#gid=756408948?usp=sharing"",""1-12每月!$B9"")"),38070.0)</f>
        <v>38070</v>
      </c>
      <c r="AG9" s="83">
        <f>IFERROR(__xludf.DUMMYFUNCTION("IMPORTRANGE(""https://docs.google.com/spreadsheets/d/1qeecSCKZ78ENQrsyUYpSNZqvo0-Y-uuGKFA1F06yLEM/edit#gid=874445072?usp=sharing"",""1-12每月!$B9"")"),15369.0)</f>
        <v>15369</v>
      </c>
      <c r="AH9" s="83">
        <f>IFERROR(__xludf.DUMMYFUNCTION("IMPORTRANGE(""https://docs.google.com/spreadsheets/d/1BSX0y1fIKw9-3VTr627UzGVjwKe74kwBkuFnvlaueNo/edit#gid=1113655470"",""1-12每月!$B9"")"),19655.0)</f>
        <v>19655</v>
      </c>
      <c r="AI9" s="83">
        <f>IFERROR(__xludf.DUMMYFUNCTION("IMPORTRANGE(""https://docs.google.com/spreadsheets/d/1bQzlrSGiVqBrfQ6FKnw67vhBELFgthonryGzmQabVFQ/edit#gid=1015697053"",""1-12每月!$B9"")"),17392.0)</f>
        <v>17392</v>
      </c>
      <c r="AJ9" s="83">
        <f>IFERROR(__xludf.DUMMYFUNCTION("IMPORTRANGE(""https://docs.google.com/spreadsheets/d/1Pem-mgCz4CF6EUKNVxDQx16g9jie0F5YNDQ_cPnMHYs"",""1-12每月!$B9"")"),32199.0)</f>
        <v>32199</v>
      </c>
      <c r="AK9" s="83">
        <f>IFERROR(__xludf.DUMMYFUNCTION("IMPORTRANGE(""https://docs.google.com/spreadsheets/d/1ZoRtUl0m9T3TpY8H-9-ntNBO_zrYrgNKuAe_XfTeFnU"",""1-12每月!$B9"")"),32058.0)</f>
        <v>32058</v>
      </c>
      <c r="AL9" s="83">
        <f>IFERROR(__xludf.DUMMYFUNCTION("IMPORTRANGE(""https://docs.google.com/spreadsheets/d/1Y9Uv46r1nA3ixCGwTWZqhGQWDt4KVX4iXmhJgHL5CGQ"",""1-12每月!$B9"")"),36642.0)</f>
        <v>36642</v>
      </c>
      <c r="AM9" s="83">
        <f>IFERROR(__xludf.DUMMYFUNCTION("IMPORTRANGE(""https://docs.google.com/spreadsheets/d/1E3X732-CKfouAVQOwKyrePWwI1Bwg9NHD0VD42lyiu4/edit?gid=1513765949#gid=1513765949"",""1-12每月!$B9"")"),31941.0)</f>
        <v>31941</v>
      </c>
      <c r="AN9" s="83"/>
      <c r="AO9" s="83"/>
      <c r="AP9" s="83"/>
      <c r="AQ9" s="83"/>
      <c r="AR9" s="84"/>
    </row>
    <row r="10" ht="15.75" customHeight="1">
      <c r="A10" s="85">
        <v>6.0</v>
      </c>
      <c r="B10" s="83"/>
      <c r="C10" s="83"/>
      <c r="D10" s="83"/>
      <c r="E10" s="83"/>
      <c r="F10" s="83"/>
      <c r="G10" s="83"/>
      <c r="H10" s="83"/>
      <c r="I10" s="83"/>
      <c r="J10" s="83"/>
      <c r="K10" s="83">
        <v>36837.0</v>
      </c>
      <c r="L10" s="83">
        <v>39439.0</v>
      </c>
      <c r="M10" s="83">
        <f>IFERROR(__xludf.DUMMYFUNCTION("IMPORTRANGE(""https://docs.google.com/spreadsheets/d/1dffLfsI-BGVz-K0zdrsWfGaqrFfoLJAhq001merp6Rk/edit?usp=sharing"",""1-12每月!$F10"")"),44925.0)</f>
        <v>44925</v>
      </c>
      <c r="N10" s="83">
        <f>IFERROR(__xludf.DUMMYFUNCTION("IMPORTRANGE(""https://docs.google.com/spreadsheets/d/1SzxpZPUDnwxS8mSOLGEH5NbWU7ZW_VcRmIn7psOvuTs/edit#gid=1650312294?usp=sharing"",""1-12每月!$F10"")"),53901.0)</f>
        <v>53901</v>
      </c>
      <c r="O10" s="83">
        <f>IFERROR(__xludf.DUMMYFUNCTION("IMPORTRANGE(""https://docs.google.com/spreadsheets/d/1ta9i7cAkOPF0LapwmU_YEDA4IPQvKNuaYVMY8vIVPwI/edit#gid=1607741572?usp=sharing"",""1-12每月!$F10"")"),47893.0)</f>
        <v>47893</v>
      </c>
      <c r="P10" s="83">
        <f>IFERROR(__xludf.DUMMYFUNCTION("IMPORTRANGE(""https://docs.google.com/spreadsheets/d/1f4WWQfcNBonYqfzcaBhJlHzPwh34sx4U6naz-Aw2G4I/edit#gid=2097425894?usp=sharing"",""1-12每月!$B10"")"),25667.0)</f>
        <v>25667</v>
      </c>
      <c r="Q10" s="83">
        <f>IFERROR(__xludf.DUMMYFUNCTION("IMPORTRANGE(""https://docs.google.com/spreadsheets/d/1pCmmgCj7Y_SQPZLsiVd3yvND9oLyryVfBwNxC6OUwm8/edit#gid=170549058?usp=sharing"",""1-12每月!$B10"")"),56574.0)</f>
        <v>56574</v>
      </c>
      <c r="R10" s="83">
        <f>IFERROR(__xludf.DUMMYFUNCTION("IMPORTRANGE(""https://docs.google.com/spreadsheets/d/1hrRqxxacrLITR_JGMRVbhSRCIZIU8gAv0o_aOkHz68M/edit#gid=763155734?usp=sharing"",""1-12每月!$B10"")"),53240.0)</f>
        <v>53240</v>
      </c>
      <c r="S10" s="83">
        <f>IFERROR(__xludf.DUMMYFUNCTION("IMPORTRANGE(""https://docs.google.com/spreadsheets/d/1AKS3XWcgwNLFRbGU-lJ3UBHDQNdglvKwrv4_Bpp1IjU/edit#gid=73116376?usp=sharing"",""1-12每月!$B10"")"),51087.0)</f>
        <v>51087</v>
      </c>
      <c r="T10" s="83">
        <f>IFERROR(__xludf.DUMMYFUNCTION("IMPORTRANGE(""https://docs.google.com/spreadsheets/d/1wGGXGHkWT5JsjUDTy4FnHN_O9ae4MADbMykqIWVThNc/edit#gid=297806252?usp=sharing"",""1-12每月!$B10"")"),51550.0)</f>
        <v>51550</v>
      </c>
      <c r="U10" s="83">
        <f>IFERROR(__xludf.DUMMYFUNCTION("IMPORTRANGE(""https://docs.google.com/spreadsheets/d/1ShTgtQQDjMKpYx-TJ_lwdxnWSzJNUcNnzR3fJjoaZec/edit#gid=66107904?usp=sharing"",""1-12每月!$B10"")"),43595.0)</f>
        <v>43595</v>
      </c>
      <c r="V10" s="83">
        <f>IFERROR(__xludf.DUMMYFUNCTION("IMPORTRANGE(""https://docs.google.com/spreadsheets/d/1_eyuyKbXFCJd6fVFEKQwugwYCbRCmmWN_M7XR1dtOb8/edit#gid=951918895?usp=sharing"",""1-12每月!$B10"")"),39584.0)</f>
        <v>39584</v>
      </c>
      <c r="W10" s="83">
        <f>IFERROR(__xludf.DUMMYFUNCTION("IMPORTRANGE(""https://docs.google.com/spreadsheets/d/1yEpHI9_Y4w8sRmPP9C-mYK4NMfVuTJifGLMj4FMdqek/edit#gid=799087919?usp=sharing"",""1-12每月!$B10"")"),41302.0)</f>
        <v>41302</v>
      </c>
      <c r="X10" s="83">
        <f>IFERROR(__xludf.DUMMYFUNCTION("IMPORTRANGE(""https://docs.google.com/spreadsheets/d/1Vbyb9GlrY6jOwvoGyZFB96f7WXYjkT6gvTE37DPDXDI/edit#gid=9591526?usp=sharing"",""1-12每月!$B10"")"),39854.0)</f>
        <v>39854</v>
      </c>
      <c r="Y10" s="83">
        <f>IFERROR(__xludf.DUMMYFUNCTION("IMPORTRANGE(""https://docs.google.com/spreadsheets/d/1qeckoJwzWQAg8zQ80D-QJP4pnVYH6l2juaUyHtOu6y8/edit#gid=1905704096?usp=sharing"",""1-12每月!$B10"")"),36236.0)</f>
        <v>36236</v>
      </c>
      <c r="Z10" s="83">
        <f>IFERROR(__xludf.DUMMYFUNCTION("IMPORTRANGE(""https://docs.google.com/spreadsheets/d/1BcbIi7AD1VDpy_wMQ0YjCG-iuQy0_tkCVqr72a0Pwbg/edit#gid=1099513714?usp=sharing"",""1-12每月!$B10"")"),46135.0)</f>
        <v>46135</v>
      </c>
      <c r="AA10" s="83">
        <f>IFERROR(__xludf.DUMMYFUNCTION("IMPORTRANGE(""https://docs.google.com/spreadsheets/d/1cIFCQPaYiOmIt2O3vkEx5eto8sfRtx3JtAWJ1fv31HI/edit#gid=432689709?usp=sharing"",""1-12每月!$B10"")"),52481.0)</f>
        <v>52481</v>
      </c>
      <c r="AB10" s="83">
        <f>IFERROR(__xludf.DUMMYFUNCTION("IMPORTRANGE(""https://docs.google.com/spreadsheets/d/1C8ECYlbes2CJkHHGOAyOYVfrP7PdlGr8RMjK7KZd0_o/edit#gid=495469277?usp=sharing"",""1-12每月!$B10"")"),52947.0)</f>
        <v>52947</v>
      </c>
      <c r="AC10" s="83">
        <f>IFERROR(__xludf.DUMMYFUNCTION("IMPORTRANGE(""https://docs.google.com/spreadsheets/d/1ettcrhLPK6tkvHZxDTyU2bGIpGSi2ynG91ln0fqz9iE/edit#gid=1364213386?usp=sharing"",""1-12每月!$B10"")"),57536.0)</f>
        <v>57536</v>
      </c>
      <c r="AD10" s="83">
        <f>IFERROR(__xludf.DUMMYFUNCTION("IMPORTRANGE(""https://docs.google.com/spreadsheets/d/1xUhm-MtqzfUO8M5WEWVv9w2EFkv5_PHMOsAlA3CcCWU/edit#gid=1700470961?usp=sharing"",""1-12每月!$B10"")"),38763.0)</f>
        <v>38763</v>
      </c>
      <c r="AE10" s="83">
        <f>IFERROR(__xludf.DUMMYFUNCTION("IMPORTRANGE(""https://docs.google.com/spreadsheets/d/1DP8wl0QQLYSZ8R2aQ8wNmiAUXn7lVrqMsdTccpBmnQc/edit#gid=1145593933?usp=sharing"",""1-12每月!$B10"")"),43395.0)</f>
        <v>43395</v>
      </c>
      <c r="AF10" s="83">
        <f>IFERROR(__xludf.DUMMYFUNCTION("IMPORTRANGE(""https://docs.google.com/spreadsheets/d/17hbKAHrpKLEbG3r9s1Ay3fOGzvOBzSu3Bn_CD4JNLhY/edit#gid=756408948?usp=sharing"",""1-12每月!$B10"")"),52841.0)</f>
        <v>52841</v>
      </c>
      <c r="AG10" s="83">
        <f>IFERROR(__xludf.DUMMYFUNCTION("IMPORTRANGE(""https://docs.google.com/spreadsheets/d/1qeecSCKZ78ENQrsyUYpSNZqvo0-Y-uuGKFA1F06yLEM/edit#gid=874445072?usp=sharing"",""1-12每月!$B10"")"),38439.0)</f>
        <v>38439</v>
      </c>
      <c r="AH10" s="83">
        <f>IFERROR(__xludf.DUMMYFUNCTION("IMPORTRANGE(""https://docs.google.com/spreadsheets/d/1BSX0y1fIKw9-3VTr627UzGVjwKe74kwBkuFnvlaueNo/edit#gid=1113655470"",""1-12每月!$B10"")"),937.0)</f>
        <v>937</v>
      </c>
      <c r="AI10" s="83">
        <f>IFERROR(__xludf.DUMMYFUNCTION("IMPORTRANGE(""https://docs.google.com/spreadsheets/d/1bQzlrSGiVqBrfQ6FKnw67vhBELFgthonryGzmQabVFQ/edit#gid=1015697053"",""1-12每月!$B10"")"),33598.0)</f>
        <v>33598</v>
      </c>
      <c r="AJ10" s="83">
        <f>IFERROR(__xludf.DUMMYFUNCTION("IMPORTRANGE(""https://docs.google.com/spreadsheets/d/1Pem-mgCz4CF6EUKNVxDQx16g9jie0F5YNDQ_cPnMHYs"",""1-12每月!$B10"")"),49283.0)</f>
        <v>49283</v>
      </c>
      <c r="AK10" s="83">
        <f>IFERROR(__xludf.DUMMYFUNCTION("IMPORTRANGE(""https://docs.google.com/spreadsheets/d/1ZoRtUl0m9T3TpY8H-9-ntNBO_zrYrgNKuAe_XfTeFnU"",""1-12每月!$B10"")"),39747.0)</f>
        <v>39747</v>
      </c>
      <c r="AL10" s="83">
        <f>IFERROR(__xludf.DUMMYFUNCTION("IMPORTRANGE(""https://docs.google.com/spreadsheets/d/1Y9Uv46r1nA3ixCGwTWZqhGQWDt4KVX4iXmhJgHL5CGQ"",""1-12每月!$B10"")"),33668.0)</f>
        <v>33668</v>
      </c>
      <c r="AM10" s="83">
        <f>IFERROR(__xludf.DUMMYFUNCTION("IMPORTRANGE(""https://docs.google.com/spreadsheets/d/1E3X732-CKfouAVQOwKyrePWwI1Bwg9NHD0VD42lyiu4/edit?gid=1513765949#gid=1513765949"",""1-12每月!$B10"")"),28275.0)</f>
        <v>28275</v>
      </c>
      <c r="AN10" s="107"/>
      <c r="AO10" s="107"/>
      <c r="AP10" s="107"/>
      <c r="AQ10" s="107"/>
      <c r="AR10" s="108"/>
    </row>
    <row r="11" ht="15.75" customHeight="1">
      <c r="A11" s="85">
        <v>7.0</v>
      </c>
      <c r="B11" s="83"/>
      <c r="C11" s="83"/>
      <c r="D11" s="83"/>
      <c r="E11" s="83"/>
      <c r="F11" s="83"/>
      <c r="G11" s="83"/>
      <c r="H11" s="83"/>
      <c r="I11" s="83"/>
      <c r="J11" s="83"/>
      <c r="K11" s="83">
        <v>51385.0</v>
      </c>
      <c r="L11" s="83">
        <v>52404.0</v>
      </c>
      <c r="M11" s="83">
        <f>IFERROR(__xludf.DUMMYFUNCTION("IMPORTRANGE(""https://docs.google.com/spreadsheets/d/1dffLfsI-BGVz-K0zdrsWfGaqrFfoLJAhq001merp6Rk/edit?usp=sharing"",""1-12每月!$F11"")"),56482.0)</f>
        <v>56482</v>
      </c>
      <c r="N11" s="83">
        <f>IFERROR(__xludf.DUMMYFUNCTION("IMPORTRANGE(""https://docs.google.com/spreadsheets/d/1SzxpZPUDnwxS8mSOLGEH5NbWU7ZW_VcRmIn7psOvuTs/edit#gid=1650312294?usp=sharing"",""1-12每月!$F11"")"),58997.0)</f>
        <v>58997</v>
      </c>
      <c r="O11" s="83">
        <f>IFERROR(__xludf.DUMMYFUNCTION("IMPORTRANGE(""https://docs.google.com/spreadsheets/d/1ta9i7cAkOPF0LapwmU_YEDA4IPQvKNuaYVMY8vIVPwI/edit#gid=1607741572?usp=sharing"",""1-12每月!$F11"")"),68606.0)</f>
        <v>68606</v>
      </c>
      <c r="P11" s="83">
        <f>IFERROR(__xludf.DUMMYFUNCTION("IMPORTRANGE(""https://docs.google.com/spreadsheets/d/1f4WWQfcNBonYqfzcaBhJlHzPwh34sx4U6naz-Aw2G4I/edit#gid=2097425894?usp=sharing"",""1-12每月!$B11"")"),68157.0)</f>
        <v>68157</v>
      </c>
      <c r="Q11" s="83">
        <f>IFERROR(__xludf.DUMMYFUNCTION("IMPORTRANGE(""https://docs.google.com/spreadsheets/d/1pCmmgCj7Y_SQPZLsiVd3yvND9oLyryVfBwNxC6OUwm8/edit#gid=170549058?usp=sharing"",""1-12每月!$B11"")"),68146.0)</f>
        <v>68146</v>
      </c>
      <c r="R11" s="83">
        <f>IFERROR(__xludf.DUMMYFUNCTION("IMPORTRANGE(""https://docs.google.com/spreadsheets/d/1hrRqxxacrLITR_JGMRVbhSRCIZIU8gAv0o_aOkHz68M/edit#gid=763155734?usp=sharing"",""1-12每月!$B11"")"),73042.0)</f>
        <v>73042</v>
      </c>
      <c r="S11" s="83">
        <f>IFERROR(__xludf.DUMMYFUNCTION("IMPORTRANGE(""https://docs.google.com/spreadsheets/d/1AKS3XWcgwNLFRbGU-lJ3UBHDQNdglvKwrv4_Bpp1IjU/edit#gid=73116376?usp=sharing"",""1-12每月!$B11"")"),67268.0)</f>
        <v>67268</v>
      </c>
      <c r="T11" s="83">
        <f>IFERROR(__xludf.DUMMYFUNCTION("IMPORTRANGE(""https://docs.google.com/spreadsheets/d/1wGGXGHkWT5JsjUDTy4FnHN_O9ae4MADbMykqIWVThNc/edit#gid=297806252?usp=sharing"",""1-12每月!$B11"")"),74749.0)</f>
        <v>74749</v>
      </c>
      <c r="U11" s="83">
        <f>IFERROR(__xludf.DUMMYFUNCTION("IMPORTRANGE(""https://docs.google.com/spreadsheets/d/1ShTgtQQDjMKpYx-TJ_lwdxnWSzJNUcNnzR3fJjoaZec/edit#gid=66107904?usp=sharing"",""1-12每月!$B11"")"),62109.0)</f>
        <v>62109</v>
      </c>
      <c r="V11" s="83">
        <f>IFERROR(__xludf.DUMMYFUNCTION("IMPORTRANGE(""https://docs.google.com/spreadsheets/d/1_eyuyKbXFCJd6fVFEKQwugwYCbRCmmWN_M7XR1dtOb8/edit#gid=951918895?usp=sharing"",""1-12每月!$B11"")"),67384.0)</f>
        <v>67384</v>
      </c>
      <c r="W11" s="83">
        <f>IFERROR(__xludf.DUMMYFUNCTION("IMPORTRANGE(""https://docs.google.com/spreadsheets/d/1yEpHI9_Y4w8sRmPP9C-mYK4NMfVuTJifGLMj4FMdqek/edit#gid=799087919?usp=sharing"",""1-12每月!$B11"")"),78338.0)</f>
        <v>78338</v>
      </c>
      <c r="X11" s="83">
        <f>IFERROR(__xludf.DUMMYFUNCTION("IMPORTRANGE(""https://docs.google.com/spreadsheets/d/1Vbyb9GlrY6jOwvoGyZFB96f7WXYjkT6gvTE37DPDXDI/edit#gid=9591526?usp=sharing"",""1-12每月!$B11"")"),75532.0)</f>
        <v>75532</v>
      </c>
      <c r="Y11" s="83">
        <f>IFERROR(__xludf.DUMMYFUNCTION("IMPORTRANGE(""https://docs.google.com/spreadsheets/d/1qeckoJwzWQAg8zQ80D-QJP4pnVYH6l2juaUyHtOu6y8/edit#gid=1905704096?usp=sharing"",""1-12每月!$B11"")"),73866.0)</f>
        <v>73866</v>
      </c>
      <c r="Z11" s="83">
        <f>IFERROR(__xludf.DUMMYFUNCTION("IMPORTRANGE(""https://docs.google.com/spreadsheets/d/1BcbIi7AD1VDpy_wMQ0YjCG-iuQy0_tkCVqr72a0Pwbg/edit#gid=1099513714?usp=sharing"",""1-12每月!$B11"")"),69856.0)</f>
        <v>69856</v>
      </c>
      <c r="AA11" s="83">
        <f>IFERROR(__xludf.DUMMYFUNCTION("IMPORTRANGE(""https://docs.google.com/spreadsheets/d/1cIFCQPaYiOmIt2O3vkEx5eto8sfRtx3JtAWJ1fv31HI/edit#gid=432689709?usp=sharing"",""1-12每月!$B11"")"),68767.0)</f>
        <v>68767</v>
      </c>
      <c r="AB11" s="83">
        <f>IFERROR(__xludf.DUMMYFUNCTION("IMPORTRANGE(""https://docs.google.com/spreadsheets/d/1C8ECYlbes2CJkHHGOAyOYVfrP7PdlGr8RMjK7KZd0_o/edit#gid=495469277?usp=sharing"",""1-12每月!$B11"")"),61511.0)</f>
        <v>61511</v>
      </c>
      <c r="AC11" s="83">
        <f>IFERROR(__xludf.DUMMYFUNCTION("IMPORTRANGE(""https://docs.google.com/spreadsheets/d/1ettcrhLPK6tkvHZxDTyU2bGIpGSi2ynG91ln0fqz9iE/edit#gid=1364213386?usp=sharing"",""1-12每月!$B11"")"),55246.0)</f>
        <v>55246</v>
      </c>
      <c r="AD11" s="83">
        <f>IFERROR(__xludf.DUMMYFUNCTION("IMPORTRANGE(""https://docs.google.com/spreadsheets/d/1xUhm-MtqzfUO8M5WEWVv9w2EFkv5_PHMOsAlA3CcCWU/edit#gid=1700470961?usp=sharing"",""1-12每月!$B11"")"),59322.0)</f>
        <v>59322</v>
      </c>
      <c r="AE11" s="83">
        <f>IFERROR(__xludf.DUMMYFUNCTION("IMPORTRANGE(""https://docs.google.com/spreadsheets/d/1DP8wl0QQLYSZ8R2aQ8wNmiAUXn7lVrqMsdTccpBmnQc/edit#gid=1145593933?usp=sharing"",""1-12每月!$B11"")"),62794.0)</f>
        <v>62794</v>
      </c>
      <c r="AF11" s="83">
        <f>IFERROR(__xludf.DUMMYFUNCTION("IMPORTRANGE(""https://docs.google.com/spreadsheets/d/17hbKAHrpKLEbG3r9s1Ay3fOGzvOBzSu3Bn_CD4JNLhY/edit#gid=756408948?usp=sharing"",""1-12每月!$B11"")"),66709.0)</f>
        <v>66709</v>
      </c>
      <c r="AG11" s="83">
        <f>IFERROR(__xludf.DUMMYFUNCTION("IMPORTRANGE(""https://docs.google.com/spreadsheets/d/1qeecSCKZ78ENQrsyUYpSNZqvo0-Y-uuGKFA1F06yLEM/edit#gid=874445072?usp=sharing"",""1-12每月!$B11"")"),77681.0)</f>
        <v>77681</v>
      </c>
      <c r="AH11" s="83">
        <f>IFERROR(__xludf.DUMMYFUNCTION("IMPORTRANGE(""https://docs.google.com/spreadsheets/d/1BSX0y1fIKw9-3VTr627UzGVjwKe74kwBkuFnvlaueNo/edit#gid=1113655470"",""1-12每月!$B11"")"),2272.0)</f>
        <v>2272</v>
      </c>
      <c r="AI11" s="83">
        <f>IFERROR(__xludf.DUMMYFUNCTION("IMPORTRANGE(""https://docs.google.com/spreadsheets/d/1bQzlrSGiVqBrfQ6FKnw67vhBELFgthonryGzmQabVFQ/edit#gid=1015697053"",""1-12每月!$B11"")"),63360.0)</f>
        <v>63360</v>
      </c>
      <c r="AJ11" s="83">
        <f>IFERROR(__xludf.DUMMYFUNCTION("IMPORTRANGE(""https://docs.google.com/spreadsheets/d/1Pem-mgCz4CF6EUKNVxDQx16g9jie0F5YNDQ_cPnMHYs"",""1-12每月!$B11"")"),47680.0)</f>
        <v>47680</v>
      </c>
      <c r="AK11" s="83">
        <f>IFERROR(__xludf.DUMMYFUNCTION("IMPORTRANGE(""https://docs.google.com/spreadsheets/d/1ZoRtUl0m9T3TpY8H-9-ntNBO_zrYrgNKuAe_XfTeFnU"",""1-12每月!$B11"")"),37916.0)</f>
        <v>37916</v>
      </c>
      <c r="AL11" s="83">
        <f>IFERROR(__xludf.DUMMYFUNCTION("IMPORTRANGE(""https://docs.google.com/spreadsheets/d/1Y9Uv46r1nA3ixCGwTWZqhGQWDt4KVX4iXmhJgHL5CGQ"",""1-12每月!$B11"")"),27650.0)</f>
        <v>27650</v>
      </c>
      <c r="AM11" s="83">
        <f>IFERROR(__xludf.DUMMYFUNCTION("IMPORTRANGE(""https://docs.google.com/spreadsheets/d/1E3X732-CKfouAVQOwKyrePWwI1Bwg9NHD0VD42lyiu4/edit?gid=1513765949#gid=1513765949"",""1-12每月!$B11"")"),0.0)</f>
        <v>0</v>
      </c>
      <c r="AN11" s="107"/>
      <c r="AO11" s="107"/>
      <c r="AP11" s="107"/>
      <c r="AQ11" s="107"/>
      <c r="AR11" s="108"/>
    </row>
    <row r="12" ht="15.75" customHeight="1">
      <c r="A12" s="85">
        <v>8.0</v>
      </c>
      <c r="B12" s="83"/>
      <c r="C12" s="83"/>
      <c r="D12" s="83"/>
      <c r="E12" s="83"/>
      <c r="F12" s="83"/>
      <c r="G12" s="83"/>
      <c r="H12" s="83"/>
      <c r="I12" s="83"/>
      <c r="J12" s="83"/>
      <c r="K12" s="83">
        <v>48403.0</v>
      </c>
      <c r="L12" s="83">
        <v>39617.0</v>
      </c>
      <c r="M12" s="83">
        <f>IFERROR(__xludf.DUMMYFUNCTION("IMPORTRANGE(""https://docs.google.com/spreadsheets/d/1dffLfsI-BGVz-K0zdrsWfGaqrFfoLJAhq001merp6Rk/edit?usp=sharing"",""1-12每月!$F12"")"),38440.0)</f>
        <v>38440</v>
      </c>
      <c r="N12" s="83">
        <f>IFERROR(__xludf.DUMMYFUNCTION("IMPORTRANGE(""https://docs.google.com/spreadsheets/d/1SzxpZPUDnwxS8mSOLGEH5NbWU7ZW_VcRmIn7psOvuTs/edit#gid=1650312294?usp=sharing"",""1-12每月!$F12"")"),68166.0)</f>
        <v>68166</v>
      </c>
      <c r="O12" s="83">
        <f>IFERROR(__xludf.DUMMYFUNCTION("IMPORTRANGE(""https://docs.google.com/spreadsheets/d/1ta9i7cAkOPF0LapwmU_YEDA4IPQvKNuaYVMY8vIVPwI/edit#gid=1607741572?usp=sharing"",""1-12每月!$F12"")"),50057.0)</f>
        <v>50057</v>
      </c>
      <c r="P12" s="83">
        <f>IFERROR(__xludf.DUMMYFUNCTION("IMPORTRANGE(""https://docs.google.com/spreadsheets/d/1f4WWQfcNBonYqfzcaBhJlHzPwh34sx4U6naz-Aw2G4I/edit#gid=2097425894?usp=sharing"",""1-12每月!$B12"")"),52812.0)</f>
        <v>52812</v>
      </c>
      <c r="Q12" s="83">
        <f>IFERROR(__xludf.DUMMYFUNCTION("IMPORTRANGE(""https://docs.google.com/spreadsheets/d/1pCmmgCj7Y_SQPZLsiVd3yvND9oLyryVfBwNxC6OUwm8/edit#gid=170549058?usp=sharing"",""1-12每月!$B12"")"),68768.0)</f>
        <v>68768</v>
      </c>
      <c r="R12" s="83">
        <f>IFERROR(__xludf.DUMMYFUNCTION("IMPORTRANGE(""https://docs.google.com/spreadsheets/d/1hrRqxxacrLITR_JGMRVbhSRCIZIU8gAv0o_aOkHz68M/edit#gid=763155734?usp=sharing"",""1-12每月!$B12"")"),43267.0)</f>
        <v>43267</v>
      </c>
      <c r="S12" s="83">
        <f>IFERROR(__xludf.DUMMYFUNCTION("IMPORTRANGE(""https://docs.google.com/spreadsheets/d/1AKS3XWcgwNLFRbGU-lJ3UBHDQNdglvKwrv4_Bpp1IjU/edit#gid=73116376?usp=sharing"",""1-12每月!$B12"")"),59222.0)</f>
        <v>59222</v>
      </c>
      <c r="T12" s="83">
        <f>IFERROR(__xludf.DUMMYFUNCTION("IMPORTRANGE(""https://docs.google.com/spreadsheets/d/1wGGXGHkWT5JsjUDTy4FnHN_O9ae4MADbMykqIWVThNc/edit#gid=297806252?usp=sharing"",""1-12每月!$B12"")"),34933.0)</f>
        <v>34933</v>
      </c>
      <c r="U12" s="83">
        <f>IFERROR(__xludf.DUMMYFUNCTION("IMPORTRANGE(""https://docs.google.com/spreadsheets/d/1ShTgtQQDjMKpYx-TJ_lwdxnWSzJNUcNnzR3fJjoaZec/edit#gid=66107904?usp=sharing"",""1-12每月!$B12"")"),48022.0)</f>
        <v>48022</v>
      </c>
      <c r="V12" s="83">
        <f>IFERROR(__xludf.DUMMYFUNCTION("IMPORTRANGE(""https://docs.google.com/spreadsheets/d/1_eyuyKbXFCJd6fVFEKQwugwYCbRCmmWN_M7XR1dtOb8/edit#gid=951918895?usp=sharing"",""1-12每月!$B12"")"),24997.0)</f>
        <v>24997</v>
      </c>
      <c r="W12" s="83">
        <f>IFERROR(__xludf.DUMMYFUNCTION("IMPORTRANGE(""https://docs.google.com/spreadsheets/d/1yEpHI9_Y4w8sRmPP9C-mYK4NMfVuTJifGLMj4FMdqek/edit#gid=799087919?usp=sharing"",""1-12每月!$B12"")"),56369.0)</f>
        <v>56369</v>
      </c>
      <c r="X12" s="83">
        <f>IFERROR(__xludf.DUMMYFUNCTION("IMPORTRANGE(""https://docs.google.com/spreadsheets/d/1Vbyb9GlrY6jOwvoGyZFB96f7WXYjkT6gvTE37DPDXDI/edit#gid=9591526?usp=sharing"",""1-12每月!$B12"")"),44243.0)</f>
        <v>44243</v>
      </c>
      <c r="Y12" s="83">
        <f>IFERROR(__xludf.DUMMYFUNCTION("IMPORTRANGE(""https://docs.google.com/spreadsheets/d/1qeckoJwzWQAg8zQ80D-QJP4pnVYH6l2juaUyHtOu6y8/edit#gid=1905704096?usp=sharing"",""1-12每月!$B12"")"),43457.0)</f>
        <v>43457</v>
      </c>
      <c r="Z12" s="83">
        <f>IFERROR(__xludf.DUMMYFUNCTION("IMPORTRANGE(""https://docs.google.com/spreadsheets/d/1BcbIi7AD1VDpy_wMQ0YjCG-iuQy0_tkCVqr72a0Pwbg/edit#gid=1099513714?usp=sharing"",""1-12每月!$B12"")"),51699.0)</f>
        <v>51699</v>
      </c>
      <c r="AA12" s="83">
        <f>IFERROR(__xludf.DUMMYFUNCTION("IMPORTRANGE(""https://docs.google.com/spreadsheets/d/1cIFCQPaYiOmIt2O3vkEx5eto8sfRtx3JtAWJ1fv31HI/edit#gid=432689709?usp=sharing"",""1-12每月!$B12"")"),59960.0)</f>
        <v>59960</v>
      </c>
      <c r="AB12" s="83">
        <f>IFERROR(__xludf.DUMMYFUNCTION("IMPORTRANGE(""https://docs.google.com/spreadsheets/d/1C8ECYlbes2CJkHHGOAyOYVfrP7PdlGr8RMjK7KZd0_o/edit#gid=495469277?usp=sharing"",""1-12每月!$B12"")"),47031.0)</f>
        <v>47031</v>
      </c>
      <c r="AC12" s="83">
        <f>IFERROR(__xludf.DUMMYFUNCTION("IMPORTRANGE(""https://docs.google.com/spreadsheets/d/1ettcrhLPK6tkvHZxDTyU2bGIpGSi2ynG91ln0fqz9iE/edit#gid=1364213386?usp=sharing"",""1-12每月!$B12"")"),46219.0)</f>
        <v>46219</v>
      </c>
      <c r="AD12" s="83">
        <f>IFERROR(__xludf.DUMMYFUNCTION("IMPORTRANGE(""https://docs.google.com/spreadsheets/d/1xUhm-MtqzfUO8M5WEWVv9w2EFkv5_PHMOsAlA3CcCWU/edit#gid=1700470961?usp=sharing"",""1-12每月!$B12"")"),60691.0)</f>
        <v>60691</v>
      </c>
      <c r="AE12" s="83">
        <f>IFERROR(__xludf.DUMMYFUNCTION("IMPORTRANGE(""https://docs.google.com/spreadsheets/d/1DP8wl0QQLYSZ8R2aQ8wNmiAUXn7lVrqMsdTccpBmnQc/edit#gid=1145593933?usp=sharing"",""1-12每月!$B12"")"),51393.0)</f>
        <v>51393</v>
      </c>
      <c r="AF12" s="83">
        <f>IFERROR(__xludf.DUMMYFUNCTION("IMPORTRANGE(""https://docs.google.com/spreadsheets/d/17hbKAHrpKLEbG3r9s1Ay3fOGzvOBzSu3Bn_CD4JNLhY/edit#gid=756408948?usp=sharing"",""1-12每月!$B12"")"),35395.0)</f>
        <v>35395</v>
      </c>
      <c r="AG12" s="83">
        <f>IFERROR(__xludf.DUMMYFUNCTION("IMPORTRANGE(""https://docs.google.com/spreadsheets/d/1qeecSCKZ78ENQrsyUYpSNZqvo0-Y-uuGKFA1F06yLEM/edit#gid=874445072?usp=sharing"",""1-12每月!$B12"")"),74009.0)</f>
        <v>74009</v>
      </c>
      <c r="AH12" s="83">
        <f>IFERROR(__xludf.DUMMYFUNCTION("IMPORTRANGE(""https://docs.google.com/spreadsheets/d/1BSX0y1fIKw9-3VTr627UzGVjwKe74kwBkuFnvlaueNo/edit#gid=1113655470"",""1-12每月!$B12"")"),8139.0)</f>
        <v>8139</v>
      </c>
      <c r="AI12" s="83">
        <f>IFERROR(__xludf.DUMMYFUNCTION("IMPORTRANGE(""https://docs.google.com/spreadsheets/d/1bQzlrSGiVqBrfQ6FKnw67vhBELFgthonryGzmQabVFQ/edit#gid=1015697053"",""1-12每月!$B12"")"),62733.0)</f>
        <v>62733</v>
      </c>
      <c r="AJ12" s="83">
        <f>IFERROR(__xludf.DUMMYFUNCTION("IMPORTRANGE(""https://docs.google.com/spreadsheets/d/1Pem-mgCz4CF6EUKNVxDQx16g9jie0F5YNDQ_cPnMHYs"",""1-12每月!$B12"")"),39573.0)</f>
        <v>39573</v>
      </c>
      <c r="AK12" s="83">
        <f>IFERROR(__xludf.DUMMYFUNCTION("IMPORTRANGE(""https://docs.google.com/spreadsheets/d/1ZoRtUl0m9T3TpY8H-9-ntNBO_zrYrgNKuAe_XfTeFnU"",""1-12每月!$B12"")"),33838.0)</f>
        <v>33838</v>
      </c>
      <c r="AL12" s="83">
        <f>IFERROR(__xludf.DUMMYFUNCTION("IMPORTRANGE(""https://docs.google.com/spreadsheets/d/1Y9Uv46r1nA3ixCGwTWZqhGQWDt4KVX4iXmhJgHL5CGQ"",""1-12每月!$B12"")"),35868.0)</f>
        <v>35868</v>
      </c>
      <c r="AM12" s="83">
        <f>IFERROR(__xludf.DUMMYFUNCTION("IMPORTRANGE(""https://docs.google.com/spreadsheets/d/1E3X732-CKfouAVQOwKyrePWwI1Bwg9NHD0VD42lyiu4/edit?gid=1513765949#gid=1513765949"",""1-12每月!$B12"")"),0.0)</f>
        <v>0</v>
      </c>
      <c r="AN12" s="107"/>
      <c r="AO12" s="107"/>
      <c r="AP12" s="107"/>
      <c r="AQ12" s="107"/>
      <c r="AR12" s="108"/>
    </row>
    <row r="13" ht="15.75" customHeight="1">
      <c r="A13" s="85">
        <v>9.0</v>
      </c>
      <c r="B13" s="83"/>
      <c r="C13" s="83"/>
      <c r="D13" s="83"/>
      <c r="E13" s="83"/>
      <c r="F13" s="83"/>
      <c r="G13" s="83"/>
      <c r="H13" s="83"/>
      <c r="I13" s="83"/>
      <c r="J13" s="83"/>
      <c r="K13" s="83">
        <v>19944.0</v>
      </c>
      <c r="L13" s="83">
        <v>23912.0</v>
      </c>
      <c r="M13" s="83">
        <f>IFERROR(__xludf.DUMMYFUNCTION("IMPORTRANGE(""https://docs.google.com/spreadsheets/d/1dffLfsI-BGVz-K0zdrsWfGaqrFfoLJAhq001merp6Rk/edit?usp=sharing"",""1-12每月!$F13"")"),35404.0)</f>
        <v>35404</v>
      </c>
      <c r="N13" s="83">
        <f>IFERROR(__xludf.DUMMYFUNCTION("IMPORTRANGE(""https://docs.google.com/spreadsheets/d/1SzxpZPUDnwxS8mSOLGEH5NbWU7ZW_VcRmIn7psOvuTs/edit#gid=1650312294?usp=sharing"",""1-12每月!$F13"")"),18856.0)</f>
        <v>18856</v>
      </c>
      <c r="O13" s="83">
        <f>IFERROR(__xludf.DUMMYFUNCTION("IMPORTRANGE(""https://docs.google.com/spreadsheets/d/1ta9i7cAkOPF0LapwmU_YEDA4IPQvKNuaYVMY8vIVPwI/edit#gid=1607741572?usp=sharing"",""1-12每月!$F13"")"),28843.0)</f>
        <v>28843</v>
      </c>
      <c r="P13" s="83">
        <f>IFERROR(__xludf.DUMMYFUNCTION("IMPORTRANGE(""https://docs.google.com/spreadsheets/d/1f4WWQfcNBonYqfzcaBhJlHzPwh34sx4U6naz-Aw2G4I/edit#gid=2097425894?usp=sharing"",""1-12每月!$B13"")"),32796.0)</f>
        <v>32796</v>
      </c>
      <c r="Q13" s="83">
        <f>IFERROR(__xludf.DUMMYFUNCTION("IMPORTRANGE(""https://docs.google.com/spreadsheets/d/1pCmmgCj7Y_SQPZLsiVd3yvND9oLyryVfBwNxC6OUwm8/edit#gid=170549058?usp=sharing"",""1-12每月!$B13"")"),39642.0)</f>
        <v>39642</v>
      </c>
      <c r="R13" s="83">
        <f>IFERROR(__xludf.DUMMYFUNCTION("IMPORTRANGE(""https://docs.google.com/spreadsheets/d/1hrRqxxacrLITR_JGMRVbhSRCIZIU8gAv0o_aOkHz68M/edit#gid=763155734?usp=sharing"",""1-12每月!$B13"")"),33948.0)</f>
        <v>33948</v>
      </c>
      <c r="S13" s="83">
        <f>IFERROR(__xludf.DUMMYFUNCTION("IMPORTRANGE(""https://docs.google.com/spreadsheets/d/1AKS3XWcgwNLFRbGU-lJ3UBHDQNdglvKwrv4_Bpp1IjU/edit#gid=73116376?usp=sharing"",""1-12每月!$B13"")"),43735.0)</f>
        <v>43735</v>
      </c>
      <c r="T13" s="83">
        <f>IFERROR(__xludf.DUMMYFUNCTION("IMPORTRANGE(""https://docs.google.com/spreadsheets/d/1wGGXGHkWT5JsjUDTy4FnHN_O9ae4MADbMykqIWVThNc/edit#gid=297806252?usp=sharing"",""1-12每月!$B13"")"),40802.0)</f>
        <v>40802</v>
      </c>
      <c r="U13" s="83">
        <f>IFERROR(__xludf.DUMMYFUNCTION("IMPORTRANGE(""https://docs.google.com/spreadsheets/d/1ShTgtQQDjMKpYx-TJ_lwdxnWSzJNUcNnzR3fJjoaZec/edit#gid=66107904?usp=sharing"",""1-12每月!$B13"")"),27817.0)</f>
        <v>27817</v>
      </c>
      <c r="V13" s="83">
        <f>IFERROR(__xludf.DUMMYFUNCTION("IMPORTRANGE(""https://docs.google.com/spreadsheets/d/1_eyuyKbXFCJd6fVFEKQwugwYCbRCmmWN_M7XR1dtOb8/edit#gid=951918895?usp=sharing"",""1-12每月!$B13"")"),16057.0)</f>
        <v>16057</v>
      </c>
      <c r="W13" s="83">
        <f>IFERROR(__xludf.DUMMYFUNCTION("IMPORTRANGE(""https://docs.google.com/spreadsheets/d/1yEpHI9_Y4w8sRmPP9C-mYK4NMfVuTJifGLMj4FMdqek/edit#gid=799087919?usp=sharing"",""1-12每月!$B13"")"),25559.0)</f>
        <v>25559</v>
      </c>
      <c r="X13" s="83">
        <f>IFERROR(__xludf.DUMMYFUNCTION("IMPORTRANGE(""https://docs.google.com/spreadsheets/d/1Vbyb9GlrY6jOwvoGyZFB96f7WXYjkT6gvTE37DPDXDI/edit#gid=9591526?usp=sharing"",""1-12每月!$B13"")"),40285.0)</f>
        <v>40285</v>
      </c>
      <c r="Y13" s="83">
        <f>IFERROR(__xludf.DUMMYFUNCTION("IMPORTRANGE(""https://docs.google.com/spreadsheets/d/1qeckoJwzWQAg8zQ80D-QJP4pnVYH6l2juaUyHtOu6y8/edit#gid=1905704096?usp=sharing"",""1-12每月!$B13"")"),23902.0)</f>
        <v>23902</v>
      </c>
      <c r="Z13" s="83">
        <f>IFERROR(__xludf.DUMMYFUNCTION("IMPORTRANGE(""https://docs.google.com/spreadsheets/d/1BcbIi7AD1VDpy_wMQ0YjCG-iuQy0_tkCVqr72a0Pwbg/edit#gid=1099513714?usp=sharing"",""1-12每月!$B13"")"),32166.0)</f>
        <v>32166</v>
      </c>
      <c r="AA13" s="83">
        <f>IFERROR(__xludf.DUMMYFUNCTION("IMPORTRANGE(""https://docs.google.com/spreadsheets/d/1cIFCQPaYiOmIt2O3vkEx5eto8sfRtx3JtAWJ1fv31HI/edit#gid=432689709?usp=sharing"",""1-12每月!$B13"")"),51997.0)</f>
        <v>51997</v>
      </c>
      <c r="AB13" s="83">
        <f>IFERROR(__xludf.DUMMYFUNCTION("IMPORTRANGE(""https://docs.google.com/spreadsheets/d/1C8ECYlbes2CJkHHGOAyOYVfrP7PdlGr8RMjK7KZd0_o/edit#gid=495469277?usp=sharing"",""1-12每月!$B13"")"),35433.0)</f>
        <v>35433</v>
      </c>
      <c r="AC13" s="83">
        <f>IFERROR(__xludf.DUMMYFUNCTION("IMPORTRANGE(""https://docs.google.com/spreadsheets/d/1ettcrhLPK6tkvHZxDTyU2bGIpGSi2ynG91ln0fqz9iE/edit#gid=1364213386?usp=sharing"",""1-12每月!$B13"")"),20928.0)</f>
        <v>20928</v>
      </c>
      <c r="AD13" s="83">
        <f>IFERROR(__xludf.DUMMYFUNCTION("IMPORTRANGE(""https://docs.google.com/spreadsheets/d/1xUhm-MtqzfUO8M5WEWVv9w2EFkv5_PHMOsAlA3CcCWU/edit#gid=1700470961?usp=sharing"",""1-12每月!$B13"")"),29736.0)</f>
        <v>29736</v>
      </c>
      <c r="AE13" s="83">
        <f>IFERROR(__xludf.DUMMYFUNCTION("IMPORTRANGE(""https://docs.google.com/spreadsheets/d/1DP8wl0QQLYSZ8R2aQ8wNmiAUXn7lVrqMsdTccpBmnQc/edit#gid=1145593933?usp=sharing"",""1-12每月!$B13"")"),26671.0)</f>
        <v>26671</v>
      </c>
      <c r="AF13" s="83">
        <f>IFERROR(__xludf.DUMMYFUNCTION("IMPORTRANGE(""https://docs.google.com/spreadsheets/d/17hbKAHrpKLEbG3r9s1Ay3fOGzvOBzSu3Bn_CD4JNLhY/edit#gid=756408948?usp=sharing"",""1-12每月!$B13"")"),36840.0)</f>
        <v>36840</v>
      </c>
      <c r="AG13" s="83">
        <f>IFERROR(__xludf.DUMMYFUNCTION("IMPORTRANGE(""https://docs.google.com/spreadsheets/d/1qeecSCKZ78ENQrsyUYpSNZqvo0-Y-uuGKFA1F06yLEM/edit#gid=874445072?usp=sharing"",""1-12每月!$B13"")"),54351.0)</f>
        <v>54351</v>
      </c>
      <c r="AH13" s="83">
        <f>IFERROR(__xludf.DUMMYFUNCTION("IMPORTRANGE(""https://docs.google.com/spreadsheets/d/1BSX0y1fIKw9-3VTr627UzGVjwKe74kwBkuFnvlaueNo/edit#gid=1113655470"",""1-12每月!$B13"")"),18976.0)</f>
        <v>18976</v>
      </c>
      <c r="AI13" s="83">
        <f>IFERROR(__xludf.DUMMYFUNCTION("IMPORTRANGE(""https://docs.google.com/spreadsheets/d/1bQzlrSGiVqBrfQ6FKnw67vhBELFgthonryGzmQabVFQ/edit#gid=1015697053"",""1-12每月!$B13"")"),40228.0)</f>
        <v>40228</v>
      </c>
      <c r="AJ13" s="83">
        <f>IFERROR(__xludf.DUMMYFUNCTION("IMPORTRANGE(""https://docs.google.com/spreadsheets/d/1Pem-mgCz4CF6EUKNVxDQx16g9jie0F5YNDQ_cPnMHYs"",""1-12每月!$B13"")"),28197.0)</f>
        <v>28197</v>
      </c>
      <c r="AK13" s="83">
        <f>IFERROR(__xludf.DUMMYFUNCTION("IMPORTRANGE(""https://docs.google.com/spreadsheets/d/1ZoRtUl0m9T3TpY8H-9-ntNBO_zrYrgNKuAe_XfTeFnU"",""1-12每月!$B13"")"),25387.0)</f>
        <v>25387</v>
      </c>
      <c r="AL13" s="83">
        <f>IFERROR(__xludf.DUMMYFUNCTION("IMPORTRANGE(""https://docs.google.com/spreadsheets/d/1Y9Uv46r1nA3ixCGwTWZqhGQWDt4KVX4iXmhJgHL5CGQ"",""1-12每月!$B13"")"),22945.0)</f>
        <v>22945</v>
      </c>
      <c r="AM13" s="83">
        <f>IFERROR(__xludf.DUMMYFUNCTION("IMPORTRANGE(""https://docs.google.com/spreadsheets/d/1E3X732-CKfouAVQOwKyrePWwI1Bwg9NHD0VD42lyiu4/edit?gid=1513765949#gid=1513765949"",""1-12每月!$B13"")"),0.0)</f>
        <v>0</v>
      </c>
      <c r="AN13" s="107"/>
      <c r="AO13" s="107"/>
      <c r="AP13" s="107"/>
      <c r="AQ13" s="107"/>
      <c r="AR13" s="108"/>
    </row>
    <row r="14" ht="15.75" customHeight="1">
      <c r="A14" s="85">
        <v>10.0</v>
      </c>
      <c r="B14" s="83"/>
      <c r="C14" s="83"/>
      <c r="D14" s="83"/>
      <c r="E14" s="83"/>
      <c r="F14" s="83"/>
      <c r="G14" s="83"/>
      <c r="H14" s="83"/>
      <c r="I14" s="83"/>
      <c r="J14" s="83"/>
      <c r="K14" s="83">
        <v>20203.0</v>
      </c>
      <c r="L14" s="83">
        <v>12157.0</v>
      </c>
      <c r="M14" s="83">
        <f>IFERROR(__xludf.DUMMYFUNCTION("IMPORTRANGE(""https://docs.google.com/spreadsheets/d/1dffLfsI-BGVz-K0zdrsWfGaqrFfoLJAhq001merp6Rk/edit?usp=sharing"",""1-12每月!$F14"")"),28591.0)</f>
        <v>28591</v>
      </c>
      <c r="N14" s="83">
        <f>IFERROR(__xludf.DUMMYFUNCTION("IMPORTRANGE(""https://docs.google.com/spreadsheets/d/1SzxpZPUDnwxS8mSOLGEH5NbWU7ZW_VcRmIn7psOvuTs/edit#gid=1650312294?usp=sharing"",""1-12每月!$F14"")"),24349.0)</f>
        <v>24349</v>
      </c>
      <c r="O14" s="83">
        <f>IFERROR(__xludf.DUMMYFUNCTION("IMPORTRANGE(""https://docs.google.com/spreadsheets/d/1ta9i7cAkOPF0LapwmU_YEDA4IPQvKNuaYVMY8vIVPwI/edit#gid=1607741572?usp=sharing"",""1-12每月!$F14"")"),22079.0)</f>
        <v>22079</v>
      </c>
      <c r="P14" s="83">
        <f>IFERROR(__xludf.DUMMYFUNCTION("IMPORTRANGE(""https://docs.google.com/spreadsheets/d/1f4WWQfcNBonYqfzcaBhJlHzPwh34sx4U6naz-Aw2G4I/edit#gid=2097425894?usp=sharing"",""1-12每月!$B14"")"),26651.0)</f>
        <v>26651</v>
      </c>
      <c r="Q14" s="83">
        <f>IFERROR(__xludf.DUMMYFUNCTION("IMPORTRANGE(""https://docs.google.com/spreadsheets/d/1pCmmgCj7Y_SQPZLsiVd3yvND9oLyryVfBwNxC6OUwm8/edit#gid=170549058?usp=sharing"",""1-12每月!$B14"")"),33652.0)</f>
        <v>33652</v>
      </c>
      <c r="R14" s="83">
        <f>IFERROR(__xludf.DUMMYFUNCTION("IMPORTRANGE(""https://docs.google.com/spreadsheets/d/1hrRqxxacrLITR_JGMRVbhSRCIZIU8gAv0o_aOkHz68M/edit#gid=763155734?usp=sharing"",""1-12每月!$B14"")"),30182.0)</f>
        <v>30182</v>
      </c>
      <c r="S14" s="83">
        <f>IFERROR(__xludf.DUMMYFUNCTION("IMPORTRANGE(""https://docs.google.com/spreadsheets/d/1AKS3XWcgwNLFRbGU-lJ3UBHDQNdglvKwrv4_Bpp1IjU/edit#gid=73116376?usp=sharing"",""1-12每月!$B14"")"),33092.0)</f>
        <v>33092</v>
      </c>
      <c r="T14" s="83">
        <f>IFERROR(__xludf.DUMMYFUNCTION("IMPORTRANGE(""https://docs.google.com/spreadsheets/d/1wGGXGHkWT5JsjUDTy4FnHN_O9ae4MADbMykqIWVThNc/edit#gid=297806252?usp=sharing"",""1-12每月!$B14"")"),16386.0)</f>
        <v>16386</v>
      </c>
      <c r="U14" s="83">
        <f>IFERROR(__xludf.DUMMYFUNCTION("IMPORTRANGE(""https://docs.google.com/spreadsheets/d/1ShTgtQQDjMKpYx-TJ_lwdxnWSzJNUcNnzR3fJjoaZec/edit#gid=66107904?usp=sharing"",""1-12每月!$B14"")"),26457.0)</f>
        <v>26457</v>
      </c>
      <c r="V14" s="83">
        <f>IFERROR(__xludf.DUMMYFUNCTION("IMPORTRANGE(""https://docs.google.com/spreadsheets/d/1_eyuyKbXFCJd6fVFEKQwugwYCbRCmmWN_M7XR1dtOb8/edit#gid=951918895?usp=sharing"",""1-12每月!$B14"")"),11773.0)</f>
        <v>11773</v>
      </c>
      <c r="W14" s="83">
        <f>IFERROR(__xludf.DUMMYFUNCTION("IMPORTRANGE(""https://docs.google.com/spreadsheets/d/1yEpHI9_Y4w8sRmPP9C-mYK4NMfVuTJifGLMj4FMdqek/edit#gid=799087919?usp=sharing"",""1-12每月!$B14"")"),18073.0)</f>
        <v>18073</v>
      </c>
      <c r="X14" s="83">
        <f>IFERROR(__xludf.DUMMYFUNCTION("IMPORTRANGE(""https://docs.google.com/spreadsheets/d/1Vbyb9GlrY6jOwvoGyZFB96f7WXYjkT6gvTE37DPDXDI/edit#gid=9591526?usp=sharing"",""1-12每月!$B14"")"),25325.0)</f>
        <v>25325</v>
      </c>
      <c r="Y14" s="83">
        <f>IFERROR(__xludf.DUMMYFUNCTION("IMPORTRANGE(""https://docs.google.com/spreadsheets/d/1qeckoJwzWQAg8zQ80D-QJP4pnVYH6l2juaUyHtOu6y8/edit#gid=1905704096?usp=sharing"",""1-12每月!$B14"")"),19320.0)</f>
        <v>19320</v>
      </c>
      <c r="Z14" s="83">
        <f>IFERROR(__xludf.DUMMYFUNCTION("IMPORTRANGE(""https://docs.google.com/spreadsheets/d/1BcbIi7AD1VDpy_wMQ0YjCG-iuQy0_tkCVqr72a0Pwbg/edit#gid=1099513714?usp=sharing"",""1-12每月!$B14"")"),22393.0)</f>
        <v>22393</v>
      </c>
      <c r="AA14" s="83">
        <f>IFERROR(__xludf.DUMMYFUNCTION("IMPORTRANGE(""https://docs.google.com/spreadsheets/d/1cIFCQPaYiOmIt2O3vkEx5eto8sfRtx3JtAWJ1fv31HI/edit#gid=432689709?usp=sharing"",""1-12每月!$B14"")"),27284.0)</f>
        <v>27284</v>
      </c>
      <c r="AB14" s="83">
        <f>IFERROR(__xludf.DUMMYFUNCTION("IMPORTRANGE(""https://docs.google.com/spreadsheets/d/1C8ECYlbes2CJkHHGOAyOYVfrP7PdlGr8RMjK7KZd0_o/edit#gid=495469277?usp=sharing"",""1-12每月!$B14"")"),27594.0)</f>
        <v>27594</v>
      </c>
      <c r="AC14" s="83">
        <f>IFERROR(__xludf.DUMMYFUNCTION("IMPORTRANGE(""https://docs.google.com/spreadsheets/d/1ettcrhLPK6tkvHZxDTyU2bGIpGSi2ynG91ln0fqz9iE/edit#gid=1364213386?usp=sharing"",""1-12每月!$B14"")"),17976.0)</f>
        <v>17976</v>
      </c>
      <c r="AD14" s="83">
        <f>IFERROR(__xludf.DUMMYFUNCTION("IMPORTRANGE(""https://docs.google.com/spreadsheets/d/1xUhm-MtqzfUO8M5WEWVv9w2EFkv5_PHMOsAlA3CcCWU/edit#gid=1700470961?usp=sharing"",""1-12每月!$B14"")"),27291.0)</f>
        <v>27291</v>
      </c>
      <c r="AE14" s="83">
        <f>IFERROR(__xludf.DUMMYFUNCTION("IMPORTRANGE(""https://docs.google.com/spreadsheets/d/1DP8wl0QQLYSZ8R2aQ8wNmiAUXn7lVrqMsdTccpBmnQc/edit#gid=1145593933?usp=sharing"",""1-12每月!$B14"")"),21745.0)</f>
        <v>21745</v>
      </c>
      <c r="AF14" s="83">
        <f>IFERROR(__xludf.DUMMYFUNCTION("IMPORTRANGE(""https://docs.google.com/spreadsheets/d/17hbKAHrpKLEbG3r9s1Ay3fOGzvOBzSu3Bn_CD4JNLhY/edit#gid=756408948?usp=sharing"",""1-12每月!$B14"")"),28644.0)</f>
        <v>28644</v>
      </c>
      <c r="AG14" s="83">
        <f>IFERROR(__xludf.DUMMYFUNCTION("IMPORTRANGE(""https://docs.google.com/spreadsheets/d/1qeecSCKZ78ENQrsyUYpSNZqvo0-Y-uuGKFA1F06yLEM/edit#gid=874445072?usp=sharing"",""1-12每月!$B14"")"),40145.0)</f>
        <v>40145</v>
      </c>
      <c r="AH14" s="83">
        <f>IFERROR(__xludf.DUMMYFUNCTION("IMPORTRANGE(""https://docs.google.com/spreadsheets/d/1BSX0y1fIKw9-3VTr627UzGVjwKe74kwBkuFnvlaueNo/edit#gid=1113655470"",""1-12每月!$B14"")"),20512.0)</f>
        <v>20512</v>
      </c>
      <c r="AI14" s="83">
        <f>IFERROR(__xludf.DUMMYFUNCTION("IMPORTRANGE(""https://docs.google.com/spreadsheets/d/1bQzlrSGiVqBrfQ6FKnw67vhBELFgthonryGzmQabVFQ/edit#gid=1015697053"",""1-12每月!$B14"")"),21063.0)</f>
        <v>21063</v>
      </c>
      <c r="AJ14" s="83">
        <f>IFERROR(__xludf.DUMMYFUNCTION("IMPORTRANGE(""https://docs.google.com/spreadsheets/d/1Pem-mgCz4CF6EUKNVxDQx16g9jie0F5YNDQ_cPnMHYs"",""1-12每月!$B14"")"),22661.0)</f>
        <v>22661</v>
      </c>
      <c r="AK14" s="83">
        <f>IFERROR(__xludf.DUMMYFUNCTION("IMPORTRANGE(""https://docs.google.com/spreadsheets/d/1ZoRtUl0m9T3TpY8H-9-ntNBO_zrYrgNKuAe_XfTeFnU"",""1-12每月!$B14"")"),17763.0)</f>
        <v>17763</v>
      </c>
      <c r="AL14" s="83">
        <f>IFERROR(__xludf.DUMMYFUNCTION("IMPORTRANGE(""https://docs.google.com/spreadsheets/d/1Y9Uv46r1nA3ixCGwTWZqhGQWDt4KVX4iXmhJgHL5CGQ"",""1-12每月!$B14"")"),24258.0)</f>
        <v>24258</v>
      </c>
      <c r="AM14" s="83">
        <f>IFERROR(__xludf.DUMMYFUNCTION("IMPORTRANGE(""https://docs.google.com/spreadsheets/d/1E3X732-CKfouAVQOwKyrePWwI1Bwg9NHD0VD42lyiu4/edit?gid=1513765949#gid=1513765949"",""1-12每月!$B14"")"),0.0)</f>
        <v>0</v>
      </c>
      <c r="AN14" s="107"/>
      <c r="AO14" s="107"/>
      <c r="AP14" s="107"/>
      <c r="AQ14" s="107"/>
      <c r="AR14" s="108"/>
    </row>
    <row r="15" ht="15.75" customHeight="1">
      <c r="A15" s="85">
        <v>11.0</v>
      </c>
      <c r="B15" s="83"/>
      <c r="C15" s="83"/>
      <c r="D15" s="83"/>
      <c r="E15" s="83"/>
      <c r="F15" s="83"/>
      <c r="G15" s="83"/>
      <c r="H15" s="83"/>
      <c r="I15" s="83"/>
      <c r="J15" s="83"/>
      <c r="K15" s="83">
        <v>14476.0</v>
      </c>
      <c r="L15" s="83">
        <v>10587.0</v>
      </c>
      <c r="M15" s="83">
        <f>IFERROR(__xludf.DUMMYFUNCTION("IMPORTRANGE(""https://docs.google.com/spreadsheets/d/1dffLfsI-BGVz-K0zdrsWfGaqrFfoLJAhq001merp6Rk/edit?usp=sharing"",""1-12每月!$F15"")"),8294.0)</f>
        <v>8294</v>
      </c>
      <c r="N15" s="83">
        <f>IFERROR(__xludf.DUMMYFUNCTION("IMPORTRANGE(""https://docs.google.com/spreadsheets/d/1SzxpZPUDnwxS8mSOLGEH5NbWU7ZW_VcRmIn7psOvuTs/edit#gid=1650312294?usp=sharing"",""1-12每月!$F15"")"),11922.0)</f>
        <v>11922</v>
      </c>
      <c r="O15" s="83">
        <f>IFERROR(__xludf.DUMMYFUNCTION("IMPORTRANGE(""https://docs.google.com/spreadsheets/d/1ta9i7cAkOPF0LapwmU_YEDA4IPQvKNuaYVMY8vIVPwI/edit#gid=1607741572?usp=sharing"",""1-12每月!$F15"")"),9296.0)</f>
        <v>9296</v>
      </c>
      <c r="P15" s="83">
        <f>IFERROR(__xludf.DUMMYFUNCTION("IMPORTRANGE(""https://docs.google.com/spreadsheets/d/1f4WWQfcNBonYqfzcaBhJlHzPwh34sx4U6naz-Aw2G4I/edit#gid=2097425894?usp=sharing"",""1-12每月!$B15"")"),8570.0)</f>
        <v>8570</v>
      </c>
      <c r="Q15" s="83">
        <f>IFERROR(__xludf.DUMMYFUNCTION("IMPORTRANGE(""https://docs.google.com/spreadsheets/d/1pCmmgCj7Y_SQPZLsiVd3yvND9oLyryVfBwNxC6OUwm8/edit#gid=170549058?usp=sharing"",""1-12每月!$B15"")"),14123.0)</f>
        <v>14123</v>
      </c>
      <c r="R15" s="83">
        <f>IFERROR(__xludf.DUMMYFUNCTION("IMPORTRANGE(""https://docs.google.com/spreadsheets/d/1hrRqxxacrLITR_JGMRVbhSRCIZIU8gAv0o_aOkHz68M/edit#gid=763155734?usp=sharing"",""1-12每月!$B15"")"),10613.0)</f>
        <v>10613</v>
      </c>
      <c r="S15" s="83">
        <f>IFERROR(__xludf.DUMMYFUNCTION("IMPORTRANGE(""https://docs.google.com/spreadsheets/d/1AKS3XWcgwNLFRbGU-lJ3UBHDQNdglvKwrv4_Bpp1IjU/edit#gid=73116376?usp=sharing"",""1-12每月!$B15"")"),9036.0)</f>
        <v>9036</v>
      </c>
      <c r="T15" s="83">
        <f>IFERROR(__xludf.DUMMYFUNCTION("IMPORTRANGE(""https://docs.google.com/spreadsheets/d/1wGGXGHkWT5JsjUDTy4FnHN_O9ae4MADbMykqIWVThNc/edit#gid=297806252?usp=sharing"",""1-12每月!$B15"")"),6515.0)</f>
        <v>6515</v>
      </c>
      <c r="U15" s="83">
        <f>IFERROR(__xludf.DUMMYFUNCTION("IMPORTRANGE(""https://docs.google.com/spreadsheets/d/1ShTgtQQDjMKpYx-TJ_lwdxnWSzJNUcNnzR3fJjoaZec/edit#gid=66107904?usp=sharing"",""1-12每月!$B15"")"),9330.0)</f>
        <v>9330</v>
      </c>
      <c r="V15" s="83">
        <f>IFERROR(__xludf.DUMMYFUNCTION("IMPORTRANGE(""https://docs.google.com/spreadsheets/d/1_eyuyKbXFCJd6fVFEKQwugwYCbRCmmWN_M7XR1dtOb8/edit#gid=951918895?usp=sharing"",""1-12每月!$B15"")"),6595.0)</f>
        <v>6595</v>
      </c>
      <c r="W15" s="83">
        <f>IFERROR(__xludf.DUMMYFUNCTION("IMPORTRANGE(""https://docs.google.com/spreadsheets/d/1yEpHI9_Y4w8sRmPP9C-mYK4NMfVuTJifGLMj4FMdqek/edit#gid=799087919?usp=sharing"",""1-12每月!$B15"")"),7531.0)</f>
        <v>7531</v>
      </c>
      <c r="X15" s="83">
        <f>IFERROR(__xludf.DUMMYFUNCTION("IMPORTRANGE(""https://docs.google.com/spreadsheets/d/1Vbyb9GlrY6jOwvoGyZFB96f7WXYjkT6gvTE37DPDXDI/edit#gid=9591526?usp=sharing"",""1-12每月!$B15"")"),7672.0)</f>
        <v>7672</v>
      </c>
      <c r="Y15" s="83">
        <f>IFERROR(__xludf.DUMMYFUNCTION("IMPORTRANGE(""https://docs.google.com/spreadsheets/d/1qeckoJwzWQAg8zQ80D-QJP4pnVYH6l2juaUyHtOu6y8/edit#gid=1905704096?usp=sharing"",""1-12每月!$B15"")"),7012.0)</f>
        <v>7012</v>
      </c>
      <c r="Z15" s="83">
        <f>IFERROR(__xludf.DUMMYFUNCTION("IMPORTRANGE(""https://docs.google.com/spreadsheets/d/1BcbIi7AD1VDpy_wMQ0YjCG-iuQy0_tkCVqr72a0Pwbg/edit#gid=1099513714?usp=sharing"",""1-12每月!$B15"")"),9015.0)</f>
        <v>9015</v>
      </c>
      <c r="AA15" s="83">
        <f>IFERROR(__xludf.DUMMYFUNCTION("IMPORTRANGE(""https://docs.google.com/spreadsheets/d/1cIFCQPaYiOmIt2O3vkEx5eto8sfRtx3JtAWJ1fv31HI/edit#gid=432689709?usp=sharing"",""1-12每月!$B15"")"),10701.0)</f>
        <v>10701</v>
      </c>
      <c r="AB15" s="83">
        <f>IFERROR(__xludf.DUMMYFUNCTION("IMPORTRANGE(""https://docs.google.com/spreadsheets/d/1C8ECYlbes2CJkHHGOAyOYVfrP7PdlGr8RMjK7KZd0_o/edit#gid=495469277?usp=sharing"",""1-12每月!$B15"")"),11661.0)</f>
        <v>11661</v>
      </c>
      <c r="AC15" s="83">
        <f>IFERROR(__xludf.DUMMYFUNCTION("IMPORTRANGE(""https://docs.google.com/spreadsheets/d/1ettcrhLPK6tkvHZxDTyU2bGIpGSi2ynG91ln0fqz9iE/edit#gid=1364213386?usp=sharing"",""1-12每月!$B15"")"),9481.0)</f>
        <v>9481</v>
      </c>
      <c r="AD15" s="83">
        <f>IFERROR(__xludf.DUMMYFUNCTION("IMPORTRANGE(""https://docs.google.com/spreadsheets/d/1xUhm-MtqzfUO8M5WEWVv9w2EFkv5_PHMOsAlA3CcCWU/edit#gid=1700470961?usp=sharing"",""1-12每月!$B15"")"),9669.0)</f>
        <v>9669</v>
      </c>
      <c r="AE15" s="83">
        <f>IFERROR(__xludf.DUMMYFUNCTION("IMPORTRANGE(""https://docs.google.com/spreadsheets/d/1DP8wl0QQLYSZ8R2aQ8wNmiAUXn7lVrqMsdTccpBmnQc/edit#gid=1145593933?usp=sharing"",""1-12每月!$B15"")"),11525.0)</f>
        <v>11525</v>
      </c>
      <c r="AF15" s="83">
        <f>IFERROR(__xludf.DUMMYFUNCTION("IMPORTRANGE(""https://docs.google.com/spreadsheets/d/17hbKAHrpKLEbG3r9s1Ay3fOGzvOBzSu3Bn_CD4JNLhY/edit#gid=756408948?usp=sharing"",""1-12每月!$B15"")"),9990.0)</f>
        <v>9990</v>
      </c>
      <c r="AG15" s="83">
        <f>IFERROR(__xludf.DUMMYFUNCTION("IMPORTRANGE(""https://docs.google.com/spreadsheets/d/1qeecSCKZ78ENQrsyUYpSNZqvo0-Y-uuGKFA1F06yLEM/edit#gid=874445072?usp=sharing"",""1-12每月!$B15"")"),6858.0)</f>
        <v>6858</v>
      </c>
      <c r="AH15" s="83">
        <f>IFERROR(__xludf.DUMMYFUNCTION("IMPORTRANGE(""https://docs.google.com/spreadsheets/d/1BSX0y1fIKw9-3VTr627UzGVjwKe74kwBkuFnvlaueNo/edit#gid=1113655470"",""1-12每月!$B15"")"),9430.0)</f>
        <v>9430</v>
      </c>
      <c r="AI15" s="83">
        <f>IFERROR(__xludf.DUMMYFUNCTION("IMPORTRANGE(""https://docs.google.com/spreadsheets/d/1bQzlrSGiVqBrfQ6FKnw67vhBELFgthonryGzmQabVFQ/edit#gid=1015697053"",""1-12每月!$B15"")"),9428.0)</f>
        <v>9428</v>
      </c>
      <c r="AJ15" s="83">
        <f>IFERROR(__xludf.DUMMYFUNCTION("IMPORTRANGE(""https://docs.google.com/spreadsheets/d/1Pem-mgCz4CF6EUKNVxDQx16g9jie0F5YNDQ_cPnMHYs"",""1-12每月!$B15"")"),7542.0)</f>
        <v>7542</v>
      </c>
      <c r="AK15" s="83">
        <f>IFERROR(__xludf.DUMMYFUNCTION("IMPORTRANGE(""https://docs.google.com/spreadsheets/d/1ZoRtUl0m9T3TpY8H-9-ntNBO_zrYrgNKuAe_XfTeFnU"",""1-12每月!$B15"")"),5744.0)</f>
        <v>5744</v>
      </c>
      <c r="AL15" s="83">
        <f>IFERROR(__xludf.DUMMYFUNCTION("IMPORTRANGE(""https://docs.google.com/spreadsheets/d/1Y9Uv46r1nA3ixCGwTWZqhGQWDt4KVX4iXmhJgHL5CGQ"",""1-12每月!$B15"")"),4897.0)</f>
        <v>4897</v>
      </c>
      <c r="AM15" s="83">
        <f>IFERROR(__xludf.DUMMYFUNCTION("IMPORTRANGE(""https://docs.google.com/spreadsheets/d/1E3X732-CKfouAVQOwKyrePWwI1Bwg9NHD0VD42lyiu4/edit?gid=1513765949#gid=1513765949"",""1-12每月!$B15"")"),0.0)</f>
        <v>0</v>
      </c>
      <c r="AN15" s="107"/>
      <c r="AO15" s="107"/>
      <c r="AP15" s="107"/>
      <c r="AQ15" s="107"/>
      <c r="AR15" s="108"/>
    </row>
    <row r="16" ht="15.75" customHeight="1">
      <c r="A16" s="85">
        <v>12.0</v>
      </c>
      <c r="B16" s="83"/>
      <c r="C16" s="83"/>
      <c r="D16" s="83"/>
      <c r="E16" s="83"/>
      <c r="F16" s="83"/>
      <c r="G16" s="83"/>
      <c r="H16" s="83"/>
      <c r="I16" s="83"/>
      <c r="J16" s="83"/>
      <c r="K16" s="83">
        <v>9999.0</v>
      </c>
      <c r="L16" s="83">
        <v>3777.0</v>
      </c>
      <c r="M16" s="83">
        <f>IFERROR(__xludf.DUMMYFUNCTION("IMPORTRANGE(""https://docs.google.com/spreadsheets/d/1dffLfsI-BGVz-K0zdrsWfGaqrFfoLJAhq001merp6Rk/edit?usp=sharing"",""1-12每月!$F16"")"),6777.0)</f>
        <v>6777</v>
      </c>
      <c r="N16" s="83">
        <f>IFERROR(__xludf.DUMMYFUNCTION("IMPORTRANGE(""https://docs.google.com/spreadsheets/d/1SzxpZPUDnwxS8mSOLGEH5NbWU7ZW_VcRmIn7psOvuTs/edit#gid=1650312294?usp=sharing"",""1-12每月!$F16"")"),8092.0)</f>
        <v>8092</v>
      </c>
      <c r="O16" s="83">
        <f>IFERROR(__xludf.DUMMYFUNCTION("IMPORTRANGE(""https://docs.google.com/spreadsheets/d/1ta9i7cAkOPF0LapwmU_YEDA4IPQvKNuaYVMY8vIVPwI/edit#gid=1607741572?usp=sharing"",""1-12每月!$F16"")"),5851.0)</f>
        <v>5851</v>
      </c>
      <c r="P16" s="83">
        <f>IFERROR(__xludf.DUMMYFUNCTION("IMPORTRANGE(""https://docs.google.com/spreadsheets/d/1f4WWQfcNBonYqfzcaBhJlHzPwh34sx4U6naz-Aw2G4I/edit#gid=2097425894?usp=sharing"",""1-12每月!$B16"")"),8826.0)</f>
        <v>8826</v>
      </c>
      <c r="Q16" s="83">
        <f>IFERROR(__xludf.DUMMYFUNCTION("IMPORTRANGE(""https://docs.google.com/spreadsheets/d/1pCmmgCj7Y_SQPZLsiVd3yvND9oLyryVfBwNxC6OUwm8/edit#gid=170549058?usp=sharing"",""1-12每月!$B16"")"),6556.0)</f>
        <v>6556</v>
      </c>
      <c r="R16" s="83">
        <f>IFERROR(__xludf.DUMMYFUNCTION("IMPORTRANGE(""https://docs.google.com/spreadsheets/d/1hrRqxxacrLITR_JGMRVbhSRCIZIU8gAv0o_aOkHz68M/edit#gid=763155734?usp=sharing"",""1-12每月!$B16"")"),6507.0)</f>
        <v>6507</v>
      </c>
      <c r="S16" s="83">
        <f>IFERROR(__xludf.DUMMYFUNCTION("IMPORTRANGE(""https://docs.google.com/spreadsheets/d/1AKS3XWcgwNLFRbGU-lJ3UBHDQNdglvKwrv4_Bpp1IjU/edit#gid=73116376?usp=sharing"",""1-12每月!$B16"")"),6368.0)</f>
        <v>6368</v>
      </c>
      <c r="T16" s="83">
        <f>IFERROR(__xludf.DUMMYFUNCTION("IMPORTRANGE(""https://docs.google.com/spreadsheets/d/1wGGXGHkWT5JsjUDTy4FnHN_O9ae4MADbMykqIWVThNc/edit#gid=297806252?usp=sharing"",""1-12每月!$B16"")"),5984.0)</f>
        <v>5984</v>
      </c>
      <c r="U16" s="83">
        <f>IFERROR(__xludf.DUMMYFUNCTION("IMPORTRANGE(""https://docs.google.com/spreadsheets/d/1ShTgtQQDjMKpYx-TJ_lwdxnWSzJNUcNnzR3fJjoaZec/edit#gid=66107904?usp=sharing"",""1-12每月!$B16"")"),5305.0)</f>
        <v>5305</v>
      </c>
      <c r="V16" s="83">
        <f>IFERROR(__xludf.DUMMYFUNCTION("IMPORTRANGE(""https://docs.google.com/spreadsheets/d/1_eyuyKbXFCJd6fVFEKQwugwYCbRCmmWN_M7XR1dtOb8/edit#gid=951918895?usp=sharing"",""1-12每月!$B16"")"),7174.0)</f>
        <v>7174</v>
      </c>
      <c r="W16" s="83">
        <f>IFERROR(__xludf.DUMMYFUNCTION("IMPORTRANGE(""https://docs.google.com/spreadsheets/d/1yEpHI9_Y4w8sRmPP9C-mYK4NMfVuTJifGLMj4FMdqek/edit#gid=799087919?usp=sharing"",""1-12每月!$B16"")"),6360.0)</f>
        <v>6360</v>
      </c>
      <c r="X16" s="83">
        <f>IFERROR(__xludf.DUMMYFUNCTION("IMPORTRANGE(""https://docs.google.com/spreadsheets/d/1Vbyb9GlrY6jOwvoGyZFB96f7WXYjkT6gvTE37DPDXDI/edit#gid=9591526?usp=sharing"",""1-12每月!$B16"")"),6144.0)</f>
        <v>6144</v>
      </c>
      <c r="Y16" s="83">
        <f>IFERROR(__xludf.DUMMYFUNCTION("IMPORTRANGE(""https://docs.google.com/spreadsheets/d/1qeckoJwzWQAg8zQ80D-QJP4pnVYH6l2juaUyHtOu6y8/edit#gid=1905704096?usp=sharing"",""1-12每月!$B16"")"),8219.0)</f>
        <v>8219</v>
      </c>
      <c r="Z16" s="83">
        <f>IFERROR(__xludf.DUMMYFUNCTION("IMPORTRANGE(""https://docs.google.com/spreadsheets/d/1BcbIi7AD1VDpy_wMQ0YjCG-iuQy0_tkCVqr72a0Pwbg/edit#gid=1099513714?usp=sharing"",""1-12每月!$B16"")"),6274.0)</f>
        <v>6274</v>
      </c>
      <c r="AA16" s="83">
        <f>IFERROR(__xludf.DUMMYFUNCTION("IMPORTRANGE(""https://docs.google.com/spreadsheets/d/1cIFCQPaYiOmIt2O3vkEx5eto8sfRtx3JtAWJ1fv31HI/edit#gid=432689709?usp=sharing"",""1-12每月!$B16"")"),7136.0)</f>
        <v>7136</v>
      </c>
      <c r="AB16" s="83">
        <f>IFERROR(__xludf.DUMMYFUNCTION("IMPORTRANGE(""https://docs.google.com/spreadsheets/d/1C8ECYlbes2CJkHHGOAyOYVfrP7PdlGr8RMjK7KZd0_o/edit#gid=495469277?usp=sharing"",""1-12每月!$B16"")"),7850.0)</f>
        <v>7850</v>
      </c>
      <c r="AC16" s="83">
        <f>IFERROR(__xludf.DUMMYFUNCTION("IMPORTRANGE(""https://docs.google.com/spreadsheets/d/1ettcrhLPK6tkvHZxDTyU2bGIpGSi2ynG91ln0fqz9iE/edit#gid=1364213386?usp=sharing"",""1-12每月!$B16"")"),9048.0)</f>
        <v>9048</v>
      </c>
      <c r="AD16" s="83">
        <f>IFERROR(__xludf.DUMMYFUNCTION("IMPORTRANGE(""https://docs.google.com/spreadsheets/d/1xUhm-MtqzfUO8M5WEWVv9w2EFkv5_PHMOsAlA3CcCWU/edit#gid=1700470961?usp=sharing"",""1-12每月!$B16"")"),7298.0)</f>
        <v>7298</v>
      </c>
      <c r="AE16" s="83">
        <f>IFERROR(__xludf.DUMMYFUNCTION("IMPORTRANGE(""https://docs.google.com/spreadsheets/d/1DP8wl0QQLYSZ8R2aQ8wNmiAUXn7lVrqMsdTccpBmnQc/edit#gid=1145593933?usp=sharing"",""1-12每月!$B16"")"),10294.0)</f>
        <v>10294</v>
      </c>
      <c r="AF16" s="83">
        <f>IFERROR(__xludf.DUMMYFUNCTION("IMPORTRANGE(""https://docs.google.com/spreadsheets/d/17hbKAHrpKLEbG3r9s1Ay3fOGzvOBzSu3Bn_CD4JNLhY/edit#gid=756408948?usp=sharing"",""1-12每月!$B16"")"),6231.0)</f>
        <v>6231</v>
      </c>
      <c r="AG16" s="83">
        <f>IFERROR(__xludf.DUMMYFUNCTION("IMPORTRANGE(""https://docs.google.com/spreadsheets/d/1qeecSCKZ78ENQrsyUYpSNZqvo0-Y-uuGKFA1F06yLEM/edit#gid=874445072?usp=sharing"",""1-12每月!$B16"")"),4676.0)</f>
        <v>4676</v>
      </c>
      <c r="AH16" s="83">
        <f>IFERROR(__xludf.DUMMYFUNCTION("IMPORTRANGE(""https://docs.google.com/spreadsheets/d/1BSX0y1fIKw9-3VTr627UzGVjwKe74kwBkuFnvlaueNo/edit#gid=1113655470"",""1-12每月!$B16"")"),7614.0)</f>
        <v>7614</v>
      </c>
      <c r="AI16" s="83">
        <f>IFERROR(__xludf.DUMMYFUNCTION("IMPORTRANGE(""https://docs.google.com/spreadsheets/d/1bQzlrSGiVqBrfQ6FKnw67vhBELFgthonryGzmQabVFQ/edit#gid=1015697053"",""1-12每月!$B16"")"),6106.0)</f>
        <v>6106</v>
      </c>
      <c r="AJ16" s="83">
        <f>IFERROR(__xludf.DUMMYFUNCTION("IMPORTRANGE(""https://docs.google.com/spreadsheets/d/1Pem-mgCz4CF6EUKNVxDQx16g9jie0F5YNDQ_cPnMHYs"",""1-12每月!$B16"")"),6252.0)</f>
        <v>6252</v>
      </c>
      <c r="AK16" s="83">
        <f>IFERROR(__xludf.DUMMYFUNCTION("IMPORTRANGE(""https://docs.google.com/spreadsheets/d/1ZoRtUl0m9T3TpY8H-9-ntNBO_zrYrgNKuAe_XfTeFnU"",""1-12每月!$B16"")"),5050.0)</f>
        <v>5050</v>
      </c>
      <c r="AL16" s="83">
        <f>IFERROR(__xludf.DUMMYFUNCTION("IMPORTRANGE(""https://docs.google.com/spreadsheets/d/1Y9Uv46r1nA3ixCGwTWZqhGQWDt4KVX4iXmhJgHL5CGQ"",""1-12每月!$B16"")"),5139.0)</f>
        <v>5139</v>
      </c>
      <c r="AM16" s="83">
        <f>IFERROR(__xludf.DUMMYFUNCTION("IMPORTRANGE(""https://docs.google.com/spreadsheets/d/1E3X732-CKfouAVQOwKyrePWwI1Bwg9NHD0VD42lyiu4/edit?gid=1513765949#gid=1513765949"",""1-12每月!$B16"")"),0.0)</f>
        <v>0</v>
      </c>
      <c r="AN16" s="107"/>
      <c r="AO16" s="107"/>
      <c r="AP16" s="107"/>
      <c r="AQ16" s="107"/>
      <c r="AR16" s="108"/>
    </row>
    <row r="17" ht="15.75" customHeight="1">
      <c r="A17" s="86" t="s">
        <v>45</v>
      </c>
      <c r="B17" s="87"/>
      <c r="C17" s="87"/>
      <c r="D17" s="87"/>
      <c r="E17" s="87"/>
      <c r="F17" s="87"/>
      <c r="G17" s="87"/>
      <c r="H17" s="87"/>
      <c r="I17" s="87"/>
      <c r="J17" s="87"/>
      <c r="K17" s="87">
        <f t="shared" ref="K17:AR17" si="1">SUM(K5:K16)</f>
        <v>290119</v>
      </c>
      <c r="L17" s="87">
        <f t="shared" si="1"/>
        <v>295942</v>
      </c>
      <c r="M17" s="87">
        <f t="shared" si="1"/>
        <v>327115</v>
      </c>
      <c r="N17" s="87">
        <f t="shared" si="1"/>
        <v>359221</v>
      </c>
      <c r="O17" s="87">
        <f t="shared" si="1"/>
        <v>347623</v>
      </c>
      <c r="P17" s="87">
        <f t="shared" si="1"/>
        <v>301726</v>
      </c>
      <c r="Q17" s="87">
        <f t="shared" si="1"/>
        <v>397330</v>
      </c>
      <c r="R17" s="87">
        <f t="shared" si="1"/>
        <v>381329</v>
      </c>
      <c r="S17" s="87">
        <f t="shared" si="1"/>
        <v>382908</v>
      </c>
      <c r="T17" s="87">
        <f t="shared" si="1"/>
        <v>335380</v>
      </c>
      <c r="U17" s="87">
        <f t="shared" si="1"/>
        <v>316201</v>
      </c>
      <c r="V17" s="87">
        <f t="shared" si="1"/>
        <v>277147</v>
      </c>
      <c r="W17" s="87">
        <f t="shared" si="1"/>
        <v>328697</v>
      </c>
      <c r="X17" s="87">
        <f t="shared" si="1"/>
        <v>319116</v>
      </c>
      <c r="Y17" s="87">
        <f t="shared" si="1"/>
        <v>307575</v>
      </c>
      <c r="Z17" s="87">
        <f t="shared" si="1"/>
        <v>337396</v>
      </c>
      <c r="AA17" s="87">
        <f t="shared" si="1"/>
        <v>386736</v>
      </c>
      <c r="AB17" s="87">
        <f t="shared" si="1"/>
        <v>363045</v>
      </c>
      <c r="AC17" s="87">
        <f t="shared" si="1"/>
        <v>336869</v>
      </c>
      <c r="AD17" s="87">
        <f t="shared" si="1"/>
        <v>345622</v>
      </c>
      <c r="AE17" s="87">
        <f t="shared" si="1"/>
        <v>339619</v>
      </c>
      <c r="AF17" s="87">
        <f t="shared" si="1"/>
        <v>347465</v>
      </c>
      <c r="AG17" s="87">
        <f t="shared" si="1"/>
        <v>355036</v>
      </c>
      <c r="AH17" s="87">
        <f t="shared" si="1"/>
        <v>155378</v>
      </c>
      <c r="AI17" s="87">
        <f t="shared" si="1"/>
        <v>319231</v>
      </c>
      <c r="AJ17" s="87">
        <f t="shared" si="1"/>
        <v>304804</v>
      </c>
      <c r="AK17" s="87">
        <f t="shared" si="1"/>
        <v>253026</v>
      </c>
      <c r="AL17" s="87">
        <f t="shared" si="1"/>
        <v>245447</v>
      </c>
      <c r="AM17" s="87">
        <f t="shared" si="1"/>
        <v>109063</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f t="shared" ref="L18:AC18" si="2">(L17-K17)/K17</f>
        <v>0.02007107428</v>
      </c>
      <c r="M18" s="90">
        <f t="shared" si="2"/>
        <v>0.1053348291</v>
      </c>
      <c r="N18" s="90">
        <f t="shared" si="2"/>
        <v>0.09814896902</v>
      </c>
      <c r="O18" s="90">
        <f t="shared" si="2"/>
        <v>-0.03228653113</v>
      </c>
      <c r="P18" s="90">
        <f t="shared" si="2"/>
        <v>-0.1320309646</v>
      </c>
      <c r="Q18" s="90">
        <f t="shared" si="2"/>
        <v>0.316857016</v>
      </c>
      <c r="R18" s="90">
        <f t="shared" si="2"/>
        <v>-0.040271311</v>
      </c>
      <c r="S18" s="90">
        <f t="shared" si="2"/>
        <v>0.00414078132</v>
      </c>
      <c r="T18" s="90">
        <f t="shared" si="2"/>
        <v>-0.1241238104</v>
      </c>
      <c r="U18" s="90">
        <f t="shared" si="2"/>
        <v>-0.0571858787</v>
      </c>
      <c r="V18" s="90">
        <f t="shared" si="2"/>
        <v>-0.1235100458</v>
      </c>
      <c r="W18" s="90">
        <f t="shared" si="2"/>
        <v>0.1860023742</v>
      </c>
      <c r="X18" s="90">
        <f t="shared" si="2"/>
        <v>-0.02914842545</v>
      </c>
      <c r="Y18" s="90">
        <f t="shared" si="2"/>
        <v>-0.03616553228</v>
      </c>
      <c r="Z18" s="90">
        <f t="shared" si="2"/>
        <v>0.09695521418</v>
      </c>
      <c r="AA18" s="90">
        <f t="shared" si="2"/>
        <v>0.1462376555</v>
      </c>
      <c r="AB18" s="90">
        <f t="shared" si="2"/>
        <v>-0.06125884324</v>
      </c>
      <c r="AC18" s="90">
        <f t="shared" si="2"/>
        <v>-0.07210125467</v>
      </c>
      <c r="AD18" s="90">
        <f t="shared" ref="AD18:AR18" si="3">IF(AC17=0,0,(AD17-AC17)/AC17)</f>
        <v>0.02598339414</v>
      </c>
      <c r="AE18" s="90">
        <f t="shared" si="3"/>
        <v>-0.01736868602</v>
      </c>
      <c r="AF18" s="90">
        <f t="shared" si="3"/>
        <v>0.02310235882</v>
      </c>
      <c r="AG18" s="90">
        <f t="shared" si="3"/>
        <v>0.02178924496</v>
      </c>
      <c r="AH18" s="90">
        <f t="shared" si="3"/>
        <v>-0.5623598734</v>
      </c>
      <c r="AI18" s="90">
        <f t="shared" si="3"/>
        <v>1.054544401</v>
      </c>
      <c r="AJ18" s="90">
        <f t="shared" si="3"/>
        <v>-0.04519297938</v>
      </c>
      <c r="AK18" s="90">
        <f t="shared" si="3"/>
        <v>-0.1698730988</v>
      </c>
      <c r="AL18" s="90">
        <f t="shared" si="3"/>
        <v>-0.02995344352</v>
      </c>
      <c r="AM18" s="90">
        <f t="shared" si="3"/>
        <v>-0.5556555998</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100</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110">
        <v>1.0</v>
      </c>
      <c r="AL20" s="92">
        <f t="shared" ref="AL20:AL32" si="5">average(AJ5:AL5)</f>
        <v>7074</v>
      </c>
      <c r="AM20" s="77"/>
      <c r="AN20" s="77"/>
      <c r="AO20" s="77"/>
      <c r="AP20" s="77"/>
      <c r="AQ20" s="77"/>
      <c r="AR20" s="77"/>
    </row>
    <row r="21" ht="15.75" customHeight="1">
      <c r="A21" s="77" t="s">
        <v>101</v>
      </c>
      <c r="B21" s="77"/>
      <c r="C21" s="77"/>
      <c r="D21" s="77"/>
      <c r="E21" s="77"/>
      <c r="F21" s="77"/>
      <c r="G21" s="77"/>
      <c r="H21" s="77"/>
      <c r="I21" s="77"/>
      <c r="J21" s="77"/>
      <c r="K21" s="77"/>
      <c r="L21" s="111">
        <v>12591.0</v>
      </c>
      <c r="M21" s="112">
        <v>9583.0</v>
      </c>
      <c r="N21" s="112">
        <v>13329.0</v>
      </c>
      <c r="O21" s="112">
        <v>24581.0</v>
      </c>
      <c r="P21" s="112">
        <v>28788.0</v>
      </c>
      <c r="Q21" s="112">
        <v>36837.0</v>
      </c>
      <c r="R21" s="112">
        <v>51385.0</v>
      </c>
      <c r="S21" s="112">
        <v>48403.0</v>
      </c>
      <c r="T21" s="112">
        <v>19944.0</v>
      </c>
      <c r="U21" s="112">
        <v>20203.0</v>
      </c>
      <c r="V21" s="112">
        <v>14476.0</v>
      </c>
      <c r="W21" s="112">
        <v>9999.0</v>
      </c>
      <c r="X21" s="77"/>
      <c r="Y21" s="77"/>
      <c r="Z21" s="77"/>
      <c r="AA21" s="77"/>
      <c r="AB21" s="77"/>
      <c r="AC21" s="77" t="s">
        <v>102</v>
      </c>
      <c r="AD21" s="92">
        <f t="shared" ref="AD21:AE21" si="4">SUM(AD$5:AD$6)</f>
        <v>22045</v>
      </c>
      <c r="AE21" s="92">
        <f t="shared" si="4"/>
        <v>16082</v>
      </c>
      <c r="AF21" s="77"/>
      <c r="AG21" s="77"/>
      <c r="AH21" s="77"/>
      <c r="AI21" s="77"/>
      <c r="AJ21" s="77"/>
      <c r="AK21" s="110">
        <v>2.0</v>
      </c>
      <c r="AL21" s="92">
        <f t="shared" si="5"/>
        <v>7737</v>
      </c>
      <c r="AM21" s="77"/>
      <c r="AN21" s="77"/>
      <c r="AO21" s="77"/>
      <c r="AP21" s="77"/>
      <c r="AQ21" s="77"/>
      <c r="AR21" s="77"/>
    </row>
    <row r="22" ht="15.75" customHeight="1">
      <c r="A22" s="77" t="s">
        <v>103</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t="s">
        <v>104</v>
      </c>
      <c r="AD22" s="92">
        <f t="shared" ref="AD22:AE22" si="6">SUM(AD$7:AD$11)</f>
        <v>188892</v>
      </c>
      <c r="AE22" s="92">
        <f t="shared" si="6"/>
        <v>201909</v>
      </c>
      <c r="AF22" s="77"/>
      <c r="AG22" s="77"/>
      <c r="AH22" s="77"/>
      <c r="AI22" s="77"/>
      <c r="AJ22" s="77"/>
      <c r="AK22" s="110">
        <v>3.0</v>
      </c>
      <c r="AL22" s="92">
        <f t="shared" si="5"/>
        <v>12699</v>
      </c>
      <c r="AM22" s="77"/>
      <c r="AN22" s="77"/>
      <c r="AO22" s="77"/>
      <c r="AP22" s="77"/>
      <c r="AQ22" s="77"/>
      <c r="AR22" s="77"/>
    </row>
    <row r="23" ht="15.75" customHeight="1">
      <c r="A23" s="77"/>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110">
        <v>4.0</v>
      </c>
      <c r="AL23" s="92">
        <f t="shared" si="5"/>
        <v>32930</v>
      </c>
      <c r="AM23" s="77"/>
      <c r="AN23" s="77"/>
      <c r="AO23" s="77"/>
      <c r="AP23" s="77"/>
      <c r="AQ23" s="77"/>
      <c r="AR23" s="77"/>
    </row>
    <row r="24" ht="15.75" customHeight="1">
      <c r="A24" s="77"/>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110">
        <v>5.0</v>
      </c>
      <c r="AL24" s="92">
        <f t="shared" si="5"/>
        <v>33633</v>
      </c>
      <c r="AM24" s="77"/>
      <c r="AN24" s="77"/>
      <c r="AO24" s="77"/>
      <c r="AP24" s="77"/>
      <c r="AQ24" s="77"/>
      <c r="AR24" s="77"/>
    </row>
    <row r="25" ht="15.75" customHeight="1">
      <c r="A25" s="77" t="s">
        <v>105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110">
        <v>6.0</v>
      </c>
      <c r="AL25" s="92">
        <f t="shared" si="5"/>
        <v>40899.33333</v>
      </c>
      <c r="AM25" s="77"/>
      <c r="AN25" s="77"/>
      <c r="AO25" s="77"/>
      <c r="AP25" s="77"/>
      <c r="AQ25" s="77"/>
      <c r="AR25" s="77"/>
    </row>
    <row r="26" ht="15.75" customHeight="1">
      <c r="A26" s="77" t="s">
        <v>105</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110">
        <v>7.0</v>
      </c>
      <c r="AL26" s="92">
        <f t="shared" si="5"/>
        <v>37748.66667</v>
      </c>
      <c r="AM26" s="77"/>
      <c r="AN26" s="77"/>
      <c r="AO26" s="77"/>
      <c r="AP26" s="77"/>
      <c r="AQ26" s="77"/>
      <c r="AR26" s="77"/>
    </row>
    <row r="27" ht="15.75" customHeight="1">
      <c r="A27" s="77" t="s">
        <v>105</v>
      </c>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110">
        <v>8.0</v>
      </c>
      <c r="AL27" s="92">
        <f t="shared" si="5"/>
        <v>36426.33333</v>
      </c>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110">
        <v>9.0</v>
      </c>
      <c r="AL28" s="92">
        <f t="shared" si="5"/>
        <v>25509.66667</v>
      </c>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110">
        <v>10.0</v>
      </c>
      <c r="AL29" s="92">
        <f t="shared" si="5"/>
        <v>21560.66667</v>
      </c>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110">
        <v>11.0</v>
      </c>
      <c r="AL30" s="92">
        <f t="shared" si="5"/>
        <v>6061</v>
      </c>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110">
        <v>12.0</v>
      </c>
      <c r="AL31" s="92">
        <f t="shared" si="5"/>
        <v>5480.333333</v>
      </c>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92">
        <f t="shared" si="5"/>
        <v>267759</v>
      </c>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2" width="3.33"/>
    <col customWidth="1" hidden="1" min="13" max="13" width="9.11"/>
    <col customWidth="1" hidden="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36" width="9.11"/>
    <col customWidth="1" min="37" max="37" width="10.44"/>
    <col customWidth="1" min="38" max="44" width="9.11"/>
  </cols>
  <sheetData>
    <row r="1" ht="15.75" customHeight="1">
      <c r="A1" s="113" t="s">
        <v>106</v>
      </c>
      <c r="B1" s="74"/>
      <c r="C1" s="74"/>
      <c r="D1" s="74"/>
      <c r="E1" s="74"/>
      <c r="F1" s="74"/>
      <c r="G1" s="74"/>
      <c r="H1" s="74"/>
      <c r="I1" s="74"/>
      <c r="J1" s="74"/>
      <c r="K1" s="74"/>
      <c r="L1" s="74"/>
      <c r="M1" s="74"/>
      <c r="N1" s="74"/>
      <c r="O1" s="74"/>
      <c r="P1" s="74"/>
      <c r="Q1" s="74"/>
      <c r="R1" s="74"/>
      <c r="S1" s="74"/>
      <c r="T1" s="74"/>
      <c r="U1" s="74"/>
      <c r="V1" s="74"/>
      <c r="W1" s="74"/>
      <c r="X1" s="74"/>
      <c r="Y1" s="74"/>
      <c r="Z1" s="75"/>
      <c r="AA1" s="75"/>
      <c r="AB1" s="76"/>
      <c r="AC1" s="75"/>
      <c r="AD1" s="75"/>
      <c r="AE1" s="76"/>
      <c r="AF1" s="76"/>
      <c r="AG1" s="75"/>
      <c r="AH1" s="75"/>
      <c r="AI1" s="75"/>
      <c r="AJ1" s="75"/>
      <c r="AK1" s="75"/>
      <c r="AL1" s="75"/>
      <c r="AM1" s="75"/>
      <c r="AN1" s="75"/>
      <c r="AO1" s="75"/>
      <c r="AP1" s="75"/>
      <c r="AQ1" s="75"/>
      <c r="AR1" s="75"/>
    </row>
    <row r="2" ht="15.75" customHeight="1">
      <c r="A2" s="77" t="s">
        <v>107</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IFERROR(__xludf.DUMMYFUNCTION("IMPORTRANGE(""https://docs.google.com/spreadsheets/d/1dffLfsI-BGVz-K0zdrsWfGaqrFfoLJAhq001merp6Rk/edit?usp=sharing"",""1-12每月!$B5"")"),50872.0)</f>
        <v>50872</v>
      </c>
      <c r="N5" s="83">
        <f>IFERROR(__xludf.DUMMYFUNCTION("IMPORTRANGE(""https://docs.google.com/spreadsheets/d/1SzxpZPUDnwxS8mSOLGEH5NbWU7ZW_VcRmIn7psOvuTs/edit#gid=1650312294?usp=sharing"",""1-12每月!$B5"")"),44124.0)</f>
        <v>44124</v>
      </c>
      <c r="O5" s="83">
        <f>IFERROR(__xludf.DUMMYFUNCTION("IMPORTRANGE(""https://docs.google.com/spreadsheets/d/1ta9i7cAkOPF0LapwmU_YEDA4IPQvKNuaYVMY8vIVPwI/edit#gid=1607741572?usp=sharing"",""1-12每月!$B5"")"),33549.0)</f>
        <v>33549</v>
      </c>
      <c r="P5" s="83">
        <f>IFERROR(__xludf.DUMMYFUNCTION("IMPORTRANGE(""https://docs.google.com/spreadsheets/d/1f4WWQfcNBonYqfzcaBhJlHzPwh34sx4U6naz-Aw2G4I/edit#gid=2097425894?usp=sharing"",""1-12每月!$C5"")"),22647.0)</f>
        <v>22647</v>
      </c>
      <c r="Q5" s="83">
        <f>IFERROR(__xludf.DUMMYFUNCTION("IMPORTRANGE(""https://docs.google.com/spreadsheets/d/1pCmmgCj7Y_SQPZLsiVd3yvND9oLyryVfBwNxC6OUwm8/edit#gid=170549058?usp=sharing"",""1-12每月!$C5"")"),38829.0)</f>
        <v>38829</v>
      </c>
      <c r="R5" s="83">
        <f>IFERROR(__xludf.DUMMYFUNCTION("IMPORTRANGE(""https://docs.google.com/spreadsheets/d/1hrRqxxacrLITR_JGMRVbhSRCIZIU8gAv0o_aOkHz68M/edit#gid=763155734?usp=sharing"",""1-12每月!$C5"")"),29695.0)</f>
        <v>29695</v>
      </c>
      <c r="S5" s="83">
        <f>IFERROR(__xludf.DUMMYFUNCTION("IMPORTRANGE(""https://docs.google.com/spreadsheets/d/1AKS3XWcgwNLFRbGU-lJ3UBHDQNdglvKwrv4_Bpp1IjU/edit#gid=73116376?usp=sharing"",""1-12每月!$C5"")"),32404.0)</f>
        <v>32404</v>
      </c>
      <c r="T5" s="83">
        <f>IFERROR(__xludf.DUMMYFUNCTION("IMPORTRANGE(""https://docs.google.com/spreadsheets/d/1wGGXGHkWT5JsjUDTy4FnHN_O9ae4MADbMykqIWVThNc/edit#gid=297806252"",""1-12每月!$C5"")"),14171.0)</f>
        <v>14171</v>
      </c>
      <c r="U5" s="83">
        <f>IFERROR(__xludf.DUMMYFUNCTION("IMPORTRANGE(""https://docs.google.com/spreadsheets/d/1ShTgtQQDjMKpYx-TJ_lwdxnWSzJNUcNnzR3fJjoaZec/edit#gid=66107904"",""1-12每月!$C5"")"),11406.0)</f>
        <v>11406</v>
      </c>
      <c r="V5" s="83">
        <f>IFERROR(__xludf.DUMMYFUNCTION("IMPORTRANGE(""https://docs.google.com/spreadsheets/d/1_eyuyKbXFCJd6fVFEKQwugwYCbRCmmWN_M7XR1dtOb8/edit#gid=951918895"",""1-12每月!$C5"")"),37095.0)</f>
        <v>37095</v>
      </c>
      <c r="W5" s="83">
        <f>IFERROR(__xludf.DUMMYFUNCTION("IMPORTRANGE(""https://docs.google.com/spreadsheets/d/1yEpHI9_Y4w8sRmPP9C-mYK4NMfVuTJifGLMj4FMdqek/edit#gid=799087919"",""1-12每月!$C5"")"),15261.0)</f>
        <v>15261</v>
      </c>
      <c r="X5" s="83">
        <f>IFERROR(__xludf.DUMMYFUNCTION("IMPORTRANGE(""https://docs.google.com/spreadsheets/d/1Vbyb9GlrY6jOwvoGyZFB96f7WXYjkT6gvTE37DPDXDI/edit#gid=9591526"",""1-12每月!$C5"")"),8647.0)</f>
        <v>8647</v>
      </c>
      <c r="Y5" s="83">
        <f>IFERROR(__xludf.DUMMYFUNCTION("IMPORTRANGE(""https://docs.google.com/spreadsheets/d/1qeckoJwzWQAg8zQ80D-QJP4pnVYH6l2juaUyHtOu6y8/edit#gid=1905704096"",""1-12每月!$C5"")"),35542.0)</f>
        <v>35542</v>
      </c>
      <c r="Z5" s="83">
        <f>IFERROR(__xludf.DUMMYFUNCTION("IMPORTRANGE(""https://docs.google.com/spreadsheets/d/1BcbIi7AD1VDpy_wMQ0YjCG-iuQy0_tkCVqr72a0Pwbg/edit#gid=1099513714"",""1-12每月!$C5"")"),11946.0)</f>
        <v>11946</v>
      </c>
      <c r="AA5" s="83">
        <f>IFERROR(__xludf.DUMMYFUNCTION("IMPORTRANGE(""https://docs.google.com/spreadsheets/d/1cIFCQPaYiOmIt2O3vkEx5eto8sfRtx3JtAWJ1fv31HI/edit#gid=432689709"",""1-12每月!$C5"")"),14434.0)</f>
        <v>14434</v>
      </c>
      <c r="AB5" s="83">
        <f>IFERROR(__xludf.DUMMYFUNCTION("IMPORTRANGE(""https://docs.google.com/spreadsheets/d/1C8ECYlbes2CJkHHGOAyOYVfrP7PdlGr8RMjK7KZd0_o/edit#gid=495469277"",""1-12每月!$C5"")"),24668.0)</f>
        <v>24668</v>
      </c>
      <c r="AC5" s="83">
        <f>IFERROR(__xludf.DUMMYFUNCTION("IMPORTRANGE(""https://docs.google.com/spreadsheets/d/1ettcrhLPK6tkvHZxDTyU2bGIpGSi2ynG91ln0fqz9iE/edit#gid=1364213386"",""1-12每月!$C5"")"),66656.0)</f>
        <v>66656</v>
      </c>
      <c r="AD5" s="83">
        <f>IFERROR(__xludf.DUMMYFUNCTION("IMPORTRANGE(""https://docs.google.com/spreadsheets/d/1xUhm-MtqzfUO8M5WEWVv9w2EFkv5_PHMOsAlA3CcCWU/edit#gid=1700470961"",""1-12每月!$C5"")"),23976.0)</f>
        <v>23976</v>
      </c>
      <c r="AE5" s="83">
        <f>IFERROR(__xludf.DUMMYFUNCTION("IMPORTRANGE(""https://docs.google.com/spreadsheets/d/1DP8wl0QQLYSZ8R2aQ8wNmiAUXn7lVrqMsdTccpBmnQc/edit#gid=1145593933"",""1-12每月!$C5"")"),16787.62)</f>
        <v>16787.62</v>
      </c>
      <c r="AF5" s="83">
        <f>IFERROR(__xludf.DUMMYFUNCTION("IMPORTRANGE(""https://docs.google.com/spreadsheets/d/17hbKAHrpKLEbG3r9s1Ay3fOGzvOBzSu3Bn_CD4JNLhY/edit#gid=756408948"",""1-12每月!$C5"")"),42095.77999999999)</f>
        <v>42095.78</v>
      </c>
      <c r="AG5" s="83">
        <f>IFERROR(__xludf.DUMMYFUNCTION("IMPORTRANGE(""https://docs.google.com/spreadsheets/d/1qeecSCKZ78ENQrsyUYpSNZqvo0-Y-uuGKFA1F06yLEM/edit#gid=874445072"",""1-12每月!$C5"")"),91235.0)</f>
        <v>91235</v>
      </c>
      <c r="AH5" s="83">
        <f>IFERROR(__xludf.DUMMYFUNCTION("IMPORTRANGE(""https://docs.google.com/spreadsheets/d/1BSX0y1fIKw9-3VTr627UzGVjwKe74kwBkuFnvlaueNo/edit#gid=1113655470"",""1-12每月!$C5"")"),68694.0)</f>
        <v>68694</v>
      </c>
      <c r="AI5" s="83">
        <f>IFERROR(__xludf.DUMMYFUNCTION("IMPORTRANGE(""https://docs.google.com/spreadsheets/d/1bQzlrSGiVqBrfQ6FKnw67vhBELFgthonryGzmQabVFQ/edit#gid=1015697053"",""1-12每月!$C5"")"),55151.0)</f>
        <v>55151</v>
      </c>
      <c r="AJ5" s="83">
        <f>IFERROR(__xludf.DUMMYFUNCTION("IMPORTRANGE(""https://docs.google.com/spreadsheets/d/1Pem-mgCz4CF6EUKNVxDQx16g9jie0F5YNDQ_cPnMHYs"",""1-12每月!$C5"")"),73360.0)</f>
        <v>73360</v>
      </c>
      <c r="AK5" s="83">
        <f>IFERROR(__xludf.DUMMYFUNCTION("IMPORTRANGE(""https://docs.google.com/spreadsheets/d/1ZoRtUl0m9T3TpY8H-9-ntNBO_zrYrgNKuAe_XfTeFnU"",""1-12每月!$C5"")"),184903.0)</f>
        <v>184903</v>
      </c>
      <c r="AL5" s="83">
        <f>IFERROR(__xludf.DUMMYFUNCTION("IMPORTRANGE(""https://docs.google.com/spreadsheets/d/1Y9Uv46r1nA3ixCGwTWZqhGQWDt4KVX4iXmhJgHL5CGQ"",""1-12每月!$C5"")"),208508.0)</f>
        <v>208508</v>
      </c>
      <c r="AM5" s="83">
        <f>IFERROR(__xludf.DUMMYFUNCTION("IMPORTRANGE(""https://docs.google.com/spreadsheets/d/1E3X732-CKfouAVQOwKyrePWwI1Bwg9NHD0VD42lyiu4/edit?gid=1513765949#gid=1513765949"",""1-12每月!$C5"")"),51306.0)</f>
        <v>51306</v>
      </c>
      <c r="AN5" s="114"/>
      <c r="AO5" s="114"/>
      <c r="AP5" s="114"/>
      <c r="AQ5" s="114"/>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IFERROR(__xludf.DUMMYFUNCTION("IMPORTRANGE(""https://docs.google.com/spreadsheets/d/1dffLfsI-BGVz-K0zdrsWfGaqrFfoLJAhq001merp6Rk/edit?usp=sharing"",""1-12每月!$B6"")"),104604.0)</f>
        <v>104604</v>
      </c>
      <c r="N6" s="83">
        <f>IFERROR(__xludf.DUMMYFUNCTION("IMPORTRANGE(""https://docs.google.com/spreadsheets/d/1SzxpZPUDnwxS8mSOLGEH5NbWU7ZW_VcRmIn7psOvuTs/edit#gid=1650312294?usp=sharing"",""1-12每月!$B6"")"),44100.0)</f>
        <v>44100</v>
      </c>
      <c r="O6" s="83">
        <f>IFERROR(__xludf.DUMMYFUNCTION("IMPORTRANGE(""https://docs.google.com/spreadsheets/d/1ta9i7cAkOPF0LapwmU_YEDA4IPQvKNuaYVMY8vIVPwI/edit#gid=1607741572?usp=sharing"",""1-12每月!$B6"")"),49247.0)</f>
        <v>49247</v>
      </c>
      <c r="P6" s="83">
        <f>IFERROR(__xludf.DUMMYFUNCTION("IMPORTRANGE(""https://docs.google.com/spreadsheets/d/1f4WWQfcNBonYqfzcaBhJlHzPwh34sx4U6naz-Aw2G4I/edit#gid=2097425894?usp=sharing"",""1-12每月!$C6"")"),47074.0)</f>
        <v>47074</v>
      </c>
      <c r="Q6" s="83">
        <f>IFERROR(__xludf.DUMMYFUNCTION("IMPORTRANGE(""https://docs.google.com/spreadsheets/d/1pCmmgCj7Y_SQPZLsiVd3yvND9oLyryVfBwNxC6OUwm8/edit#gid=170549058?usp=sharing"",""1-12每月!$C6"")"),28564.0)</f>
        <v>28564</v>
      </c>
      <c r="R6" s="83">
        <f>IFERROR(__xludf.DUMMYFUNCTION("IMPORTRANGE(""https://docs.google.com/spreadsheets/d/1hrRqxxacrLITR_JGMRVbhSRCIZIU8gAv0o_aOkHz68M/edit#gid=763155734?usp=sharing"",""1-12每月!$C6"")"),47974.0)</f>
        <v>47974</v>
      </c>
      <c r="S6" s="83">
        <f>IFERROR(__xludf.DUMMYFUNCTION("IMPORTRANGE(""https://docs.google.com/spreadsheets/d/1AKS3XWcgwNLFRbGU-lJ3UBHDQNdglvKwrv4_Bpp1IjU/edit#gid=73116376?usp=sharing"",""1-12每月!$C6"")"),43155.0)</f>
        <v>43155</v>
      </c>
      <c r="T6" s="83">
        <f>IFERROR(__xludf.DUMMYFUNCTION("IMPORTRANGE(""https://docs.google.com/spreadsheets/d/1wGGXGHkWT5JsjUDTy4FnHN_O9ae4MADbMykqIWVThNc/edit#gid=297806252?usp=sharing"",""1-12每月!$C6"")"),40251.0)</f>
        <v>40251</v>
      </c>
      <c r="U6" s="83">
        <f>IFERROR(__xludf.DUMMYFUNCTION("IMPORTRANGE(""https://docs.google.com/spreadsheets/d/1ShTgtQQDjMKpYx-TJ_lwdxnWSzJNUcNnzR3fJjoaZec/edit#gid=66107904?usp=sharing"",""1-12每月!$C6"")"),29476.0)</f>
        <v>29476</v>
      </c>
      <c r="V6" s="83">
        <f>IFERROR(__xludf.DUMMYFUNCTION("IMPORTRANGE(""https://docs.google.com/spreadsheets/d/1_eyuyKbXFCJd6fVFEKQwugwYCbRCmmWN_M7XR1dtOb8/edit#gid=951918895?usp=sharing"",""1-12每月!$C6"")"),20777.0)</f>
        <v>20777</v>
      </c>
      <c r="W6" s="83">
        <f>IFERROR(__xludf.DUMMYFUNCTION("IMPORTRANGE(""https://docs.google.com/spreadsheets/d/1yEpHI9_Y4w8sRmPP9C-mYK4NMfVuTJifGLMj4FMdqek/edit#gid=799087919?usp=sharing"",""1-12每月!$C6"")"),31185.0)</f>
        <v>31185</v>
      </c>
      <c r="X6" s="83">
        <f>IFERROR(__xludf.DUMMYFUNCTION("IMPORTRANGE(""https://docs.google.com/spreadsheets/d/1Vbyb9GlrY6jOwvoGyZFB96f7WXYjkT6gvTE37DPDXDI/edit#gid=9591526?usp=sharing"",""1-12每月!$C6"")"),27852.0)</f>
        <v>27852</v>
      </c>
      <c r="Y6" s="83">
        <f>IFERROR(__xludf.DUMMYFUNCTION("IMPORTRANGE(""https://docs.google.com/spreadsheets/d/1qeckoJwzWQAg8zQ80D-QJP4pnVYH6l2juaUyHtOu6y8/edit#gid=1905704096?usp=sharing"",""1-12每月!$C6"")"),22178.0)</f>
        <v>22178</v>
      </c>
      <c r="Z6" s="83">
        <f>IFERROR(__xludf.DUMMYFUNCTION("IMPORTRANGE(""https://docs.google.com/spreadsheets/d/1BcbIi7AD1VDpy_wMQ0YjCG-iuQy0_tkCVqr72a0Pwbg/edit#gid=1099513714?usp=sharing"",""1-12每月!$C6"")"),30476.0)</f>
        <v>30476</v>
      </c>
      <c r="AA6" s="83">
        <f>IFERROR(__xludf.DUMMYFUNCTION("IMPORTRANGE(""https://docs.google.com/spreadsheets/d/1cIFCQPaYiOmIt2O3vkEx5eto8sfRtx3JtAWJ1fv31HI/edit#gid=432689709?usp=sharing"",""1-12每月!$C6"")"),30380.0)</f>
        <v>30380</v>
      </c>
      <c r="AB6" s="83">
        <f>IFERROR(__xludf.DUMMYFUNCTION("IMPORTRANGE(""https://docs.google.com/spreadsheets/d/1C8ECYlbes2CJkHHGOAyOYVfrP7PdlGr8RMjK7KZd0_o/edit#gid=495469277?usp=sharing"",""1-12每月!$C6"")"),40013.0)</f>
        <v>40013</v>
      </c>
      <c r="AC6" s="83">
        <f>IFERROR(__xludf.DUMMYFUNCTION("IMPORTRANGE(""https://docs.google.com/spreadsheets/d/1ettcrhLPK6tkvHZxDTyU2bGIpGSi2ynG91ln0fqz9iE/edit#gid=1364213386?usp=sharing"",""1-12每月!$C6"")"),127199.0)</f>
        <v>127199</v>
      </c>
      <c r="AD6" s="83">
        <f>IFERROR(__xludf.DUMMYFUNCTION("IMPORTRANGE(""https://docs.google.com/spreadsheets/d/1xUhm-MtqzfUO8M5WEWVv9w2EFkv5_PHMOsAlA3CcCWU/edit#gid=1700470961?usp=sharing"",""1-12每月!$C6"")"),28469.0)</f>
        <v>28469</v>
      </c>
      <c r="AE6" s="83">
        <f>IFERROR(__xludf.DUMMYFUNCTION("IMPORTRANGE(""https://docs.google.com/spreadsheets/d/1DP8wl0QQLYSZ8R2aQ8wNmiAUXn7lVrqMsdTccpBmnQc/edit#gid=1145593933?usp=sharing"",""1-12每月!$C6"")"),26046.0)</f>
        <v>26046</v>
      </c>
      <c r="AF6" s="83">
        <f>IFERROR(__xludf.DUMMYFUNCTION("IMPORTRANGE(""https://docs.google.com/spreadsheets/d/17hbKAHrpKLEbG3r9s1Ay3fOGzvOBzSu3Bn_CD4JNLhY/edit#gid=756408948?usp=sharing"",""1-12每月!$C6"")"),114592.0)</f>
        <v>114592</v>
      </c>
      <c r="AG6" s="83">
        <f>IFERROR(__xludf.DUMMYFUNCTION("IMPORTRANGE(""https://docs.google.com/spreadsheets/d/1qeecSCKZ78ENQrsyUYpSNZqvo0-Y-uuGKFA1F06yLEM/edit#gid=874445072?usp=sharing"",""1-12每月!$C6"")"),54720.0)</f>
        <v>54720</v>
      </c>
      <c r="AH6" s="83">
        <f>IFERROR(__xludf.DUMMYFUNCTION("IMPORTRANGE(""https://docs.google.com/spreadsheets/d/1BSX0y1fIKw9-3VTr627UzGVjwKe74kwBkuFnvlaueNo/edit#gid=1113655470"",""1-12每月!$C6"")"),101445.0)</f>
        <v>101445</v>
      </c>
      <c r="AI6" s="83">
        <f>IFERROR(__xludf.DUMMYFUNCTION("IMPORTRANGE(""https://docs.google.com/spreadsheets/d/1bQzlrSGiVqBrfQ6FKnw67vhBELFgthonryGzmQabVFQ/edit#gid=1015697053"",""1-12每月!$C6"")"),86379.0)</f>
        <v>86379</v>
      </c>
      <c r="AJ6" s="83">
        <f>IFERROR(__xludf.DUMMYFUNCTION("IMPORTRANGE(""https://docs.google.com/spreadsheets/d/1Pem-mgCz4CF6EUKNVxDQx16g9jie0F5YNDQ_cPnMHYs"",""1-12每月!$C6"")"),58879.0)</f>
        <v>58879</v>
      </c>
      <c r="AK6" s="83">
        <f>IFERROR(__xludf.DUMMYFUNCTION("IMPORTRANGE(""https://docs.google.com/spreadsheets/d/1ZoRtUl0m9T3TpY8H-9-ntNBO_zrYrgNKuAe_XfTeFnU"",""1-12每月!$C6"")"),226773.0)</f>
        <v>226773</v>
      </c>
      <c r="AL6" s="83">
        <f>IFERROR(__xludf.DUMMYFUNCTION("IMPORTRANGE(""https://docs.google.com/spreadsheets/d/1Y9Uv46r1nA3ixCGwTWZqhGQWDt4KVX4iXmhJgHL5CGQ"",""1-12每月!$C6"")"),170063.0)</f>
        <v>170063</v>
      </c>
      <c r="AM6" s="83">
        <f>IFERROR(__xludf.DUMMYFUNCTION("IMPORTRANGE(""https://docs.google.com/spreadsheets/d/1E3X732-CKfouAVQOwKyrePWwI1Bwg9NHD0VD42lyiu4/edit?gid=1513765949#gid=1513765949"",""1-12每月!$C6"")"),62451.0)</f>
        <v>62451</v>
      </c>
      <c r="AN6" s="114"/>
      <c r="AO6" s="114"/>
      <c r="AP6" s="114"/>
      <c r="AQ6" s="114"/>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IFERROR(__xludf.DUMMYFUNCTION("IMPORTRANGE(""https://docs.google.com/spreadsheets/d/1dffLfsI-BGVz-K0zdrsWfGaqrFfoLJAhq001merp6Rk/edit?usp=sharing"",""1-12每月!$B7"")"),46280.0)</f>
        <v>46280</v>
      </c>
      <c r="N7" s="83">
        <f>IFERROR(__xludf.DUMMYFUNCTION("IMPORTRANGE(""https://docs.google.com/spreadsheets/d/1SzxpZPUDnwxS8mSOLGEH5NbWU7ZW_VcRmIn7psOvuTs/edit#gid=1650312294?usp=sharing"",""1-12每月!$B7"")"),42228.0)</f>
        <v>42228</v>
      </c>
      <c r="O7" s="83">
        <f>IFERROR(__xludf.DUMMYFUNCTION("IMPORTRANGE(""https://docs.google.com/spreadsheets/d/1ta9i7cAkOPF0LapwmU_YEDA4IPQvKNuaYVMY8vIVPwI/edit#gid=1607741572?usp=sharing"",""1-12每月!$B7"")"),37523.0)</f>
        <v>37523</v>
      </c>
      <c r="P7" s="83">
        <f>IFERROR(__xludf.DUMMYFUNCTION("IMPORTRANGE(""https://docs.google.com/spreadsheets/d/1f4WWQfcNBonYqfzcaBhJlHzPwh34sx4U6naz-Aw2G4I/edit#gid=2097425894?usp=sharing"",""1-12每月!$C7"")"),31139.0)</f>
        <v>31139</v>
      </c>
      <c r="Q7" s="83">
        <f>IFERROR(__xludf.DUMMYFUNCTION("IMPORTRANGE(""https://docs.google.com/spreadsheets/d/1pCmmgCj7Y_SQPZLsiVd3yvND9oLyryVfBwNxC6OUwm8/edit#gid=170549058?usp=sharing"",""1-12每月!$C7"")"),26218.0)</f>
        <v>26218</v>
      </c>
      <c r="R7" s="83">
        <f>IFERROR(__xludf.DUMMYFUNCTION("IMPORTRANGE(""https://docs.google.com/spreadsheets/d/1hrRqxxacrLITR_JGMRVbhSRCIZIU8gAv0o_aOkHz68M/edit#gid=763155734?usp=sharing"",""1-12每月!$C7"")"),24978.0)</f>
        <v>24978</v>
      </c>
      <c r="S7" s="83">
        <f>IFERROR(__xludf.DUMMYFUNCTION("IMPORTRANGE(""https://docs.google.com/spreadsheets/d/1AKS3XWcgwNLFRbGU-lJ3UBHDQNdglvKwrv4_Bpp1IjU/edit#gid=73116376?usp=sharing"",""1-12每月!$C7"")"),25879.0)</f>
        <v>25879</v>
      </c>
      <c r="T7" s="83">
        <f>IFERROR(__xludf.DUMMYFUNCTION("IMPORTRANGE(""https://docs.google.com/spreadsheets/d/1wGGXGHkWT5JsjUDTy4FnHN_O9ae4MADbMykqIWVThNc/edit#gid=297806252?usp=sharing"",""1-12每月!$C7"")"),20271.0)</f>
        <v>20271</v>
      </c>
      <c r="U7" s="83">
        <f>IFERROR(__xludf.DUMMYFUNCTION("IMPORTRANGE(""https://docs.google.com/spreadsheets/d/1ShTgtQQDjMKpYx-TJ_lwdxnWSzJNUcNnzR3fJjoaZec/edit#gid=66107904?usp=sharing"",""1-12每月!$C7"")"),14859.0)</f>
        <v>14859</v>
      </c>
      <c r="V7" s="83">
        <f>IFERROR(__xludf.DUMMYFUNCTION("IMPORTRANGE(""https://docs.google.com/spreadsheets/d/1_eyuyKbXFCJd6fVFEKQwugwYCbRCmmWN_M7XR1dtOb8/edit#gid=951918895?usp=sharing"",""1-12每月!$C7"")"),18260.0)</f>
        <v>18260</v>
      </c>
      <c r="W7" s="83">
        <f>IFERROR(__xludf.DUMMYFUNCTION("IMPORTRANGE(""https://docs.google.com/spreadsheets/d/1yEpHI9_Y4w8sRmPP9C-mYK4NMfVuTJifGLMj4FMdqek/edit#gid=799087919?usp=sharing"",""1-12每月!$C7"")"),19419.0)</f>
        <v>19419</v>
      </c>
      <c r="X7" s="83">
        <f>IFERROR(__xludf.DUMMYFUNCTION("IMPORTRANGE(""https://docs.google.com/spreadsheets/d/1Vbyb9GlrY6jOwvoGyZFB96f7WXYjkT6gvTE37DPDXDI/edit#gid=9591526?usp=sharing"",""1-12每月!$C7"")"),12070.0)</f>
        <v>12070</v>
      </c>
      <c r="Y7" s="83">
        <f>IFERROR(__xludf.DUMMYFUNCTION("IMPORTRANGE(""https://docs.google.com/spreadsheets/d/1qeckoJwzWQAg8zQ80D-QJP4pnVYH6l2juaUyHtOu6y8/edit#gid=1905704096?usp=sharing"",""1-12每月!$C7"")"),16117.0)</f>
        <v>16117</v>
      </c>
      <c r="Z7" s="83">
        <f>IFERROR(__xludf.DUMMYFUNCTION("IMPORTRANGE(""https://docs.google.com/spreadsheets/d/1BcbIi7AD1VDpy_wMQ0YjCG-iuQy0_tkCVqr72a0Pwbg/edit#gid=1099513714?usp=sharing"",""1-12每月!$C7"")"),15492.0)</f>
        <v>15492</v>
      </c>
      <c r="AA7" s="83">
        <f>IFERROR(__xludf.DUMMYFUNCTION("IMPORTRANGE(""https://docs.google.com/spreadsheets/d/1cIFCQPaYiOmIt2O3vkEx5eto8sfRtx3JtAWJ1fv31HI/edit#gid=432689709?usp=sharing"",""1-12每月!$C7"")"),21591.0)</f>
        <v>21591</v>
      </c>
      <c r="AB7" s="83">
        <f>IFERROR(__xludf.DUMMYFUNCTION("IMPORTRANGE(""https://docs.google.com/spreadsheets/d/1C8ECYlbes2CJkHHGOAyOYVfrP7PdlGr8RMjK7KZd0_o/edit#gid=495469277?usp=sharing"",""1-12每月!$C7"")"),23999.0)</f>
        <v>23999</v>
      </c>
      <c r="AC7" s="83">
        <f>IFERROR(__xludf.DUMMYFUNCTION("IMPORTRANGE(""https://docs.google.com/spreadsheets/d/1ettcrhLPK6tkvHZxDTyU2bGIpGSi2ynG91ln0fqz9iE/edit#gid=1364213386?usp=sharing"",""1-12每月!$C7"")"),22153.0)</f>
        <v>22153</v>
      </c>
      <c r="AD7" s="83">
        <f>IFERROR(__xludf.DUMMYFUNCTION("IMPORTRANGE(""https://docs.google.com/spreadsheets/d/1xUhm-MtqzfUO8M5WEWVv9w2EFkv5_PHMOsAlA3CcCWU/edit#gid=1700470961?usp=sharing"",""1-12每月!$C7"")"),16200.0)</f>
        <v>16200</v>
      </c>
      <c r="AE7" s="83">
        <f>IFERROR(__xludf.DUMMYFUNCTION("IMPORTRANGE(""https://docs.google.com/spreadsheets/d/1DP8wl0QQLYSZ8R2aQ8wNmiAUXn7lVrqMsdTccpBmnQc/edit#gid=1145593933?usp=sharing"",""1-12每月!$C7"")"),36121.0)</f>
        <v>36121</v>
      </c>
      <c r="AF7" s="83">
        <f>IFERROR(__xludf.DUMMYFUNCTION("IMPORTRANGE(""https://docs.google.com/spreadsheets/d/17hbKAHrpKLEbG3r9s1Ay3fOGzvOBzSu3Bn_CD4JNLhY/edit#gid=756408948?usp=sharing"",""1-12每月!$C7"")"),53818.57)</f>
        <v>53818.57</v>
      </c>
      <c r="AG7" s="83">
        <f>IFERROR(__xludf.DUMMYFUNCTION("IMPORTRANGE(""https://docs.google.com/spreadsheets/d/1qeecSCKZ78ENQrsyUYpSNZqvo0-Y-uuGKFA1F06yLEM/edit#gid=874445072?usp=sharing"",""1-12每月!$C7"")"),18517.0)</f>
        <v>18517</v>
      </c>
      <c r="AH7" s="83">
        <f>IFERROR(__xludf.DUMMYFUNCTION("IMPORTRANGE(""https://docs.google.com/spreadsheets/d/1BSX0y1fIKw9-3VTr627UzGVjwKe74kwBkuFnvlaueNo/edit#gid=1113655470"",""1-12每月!$C7"")"),42131.0)</f>
        <v>42131</v>
      </c>
      <c r="AI7" s="83">
        <f>IFERROR(__xludf.DUMMYFUNCTION("IMPORTRANGE(""https://docs.google.com/spreadsheets/d/1bQzlrSGiVqBrfQ6FKnw67vhBELFgthonryGzmQabVFQ/edit#gid=1015697053"",""1-12每月!$C7"")"),49453.0)</f>
        <v>49453</v>
      </c>
      <c r="AJ7" s="83">
        <f>IFERROR(__xludf.DUMMYFUNCTION("IMPORTRANGE(""https://docs.google.com/spreadsheets/d/1Pem-mgCz4CF6EUKNVxDQx16g9jie0F5YNDQ_cPnMHYs"",""1-12每月!$C7"")"),32034.0)</f>
        <v>32034</v>
      </c>
      <c r="AK7" s="83">
        <f>IFERROR(__xludf.DUMMYFUNCTION("IMPORTRANGE(""https://docs.google.com/spreadsheets/d/1ZoRtUl0m9T3TpY8H-9-ntNBO_zrYrgNKuAe_XfTeFnU"",""1-12每月!$C7"")"),185763.0)</f>
        <v>185763</v>
      </c>
      <c r="AL7" s="83">
        <f>IFERROR(__xludf.DUMMYFUNCTION("IMPORTRANGE(""https://docs.google.com/spreadsheets/d/1Y9Uv46r1nA3ixCGwTWZqhGQWDt4KVX4iXmhJgHL5CGQ"",""1-12每月!$C7"")"),191166.0)</f>
        <v>191166</v>
      </c>
      <c r="AM7" s="83">
        <f>IFERROR(__xludf.DUMMYFUNCTION("IMPORTRANGE(""https://docs.google.com/spreadsheets/d/1E3X732-CKfouAVQOwKyrePWwI1Bwg9NHD0VD42lyiu4/edit?gid=1513765949#gid=1513765949"",""1-12每月!$C7"")"),49427.0)</f>
        <v>49427</v>
      </c>
      <c r="AN7" s="114"/>
      <c r="AO7" s="114"/>
      <c r="AP7" s="114"/>
      <c r="AQ7" s="114"/>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IFERROR(__xludf.DUMMYFUNCTION("IMPORTRANGE(""https://docs.google.com/spreadsheets/d/1dffLfsI-BGVz-K0zdrsWfGaqrFfoLJAhq001merp6Rk/edit?usp=sharing"",""1-12每月!$B8"")"),76098.0)</f>
        <v>76098</v>
      </c>
      <c r="N8" s="83">
        <f>IFERROR(__xludf.DUMMYFUNCTION("IMPORTRANGE(""https://docs.google.com/spreadsheets/d/1SzxpZPUDnwxS8mSOLGEH5NbWU7ZW_VcRmIn7psOvuTs/edit#gid=1650312294?usp=sharing"",""1-12每月!$B8"")"),57823.0)</f>
        <v>57823</v>
      </c>
      <c r="O8" s="83">
        <f>IFERROR(__xludf.DUMMYFUNCTION("IMPORTRANGE(""https://docs.google.com/spreadsheets/d/1ta9i7cAkOPF0LapwmU_YEDA4IPQvKNuaYVMY8vIVPwI/edit#gid=1607741572?usp=sharing"",""1-12每月!$B8"")"),40995.0)</f>
        <v>40995</v>
      </c>
      <c r="P8" s="83">
        <f>IFERROR(__xludf.DUMMYFUNCTION("IMPORTRANGE(""https://docs.google.com/spreadsheets/d/1f4WWQfcNBonYqfzcaBhJlHzPwh34sx4U6naz-Aw2G4I/edit#gid=2097425894?usp=sharing"",""1-12每月!$C8"")"),24709.0)</f>
        <v>24709</v>
      </c>
      <c r="Q8" s="83">
        <f>IFERROR(__xludf.DUMMYFUNCTION("IMPORTRANGE(""https://docs.google.com/spreadsheets/d/1pCmmgCj7Y_SQPZLsiVd3yvND9oLyryVfBwNxC6OUwm8/edit#gid=170549058?usp=sharing"",""1-12每月!$C8"")"),32438.0)</f>
        <v>32438</v>
      </c>
      <c r="R8" s="83">
        <f>IFERROR(__xludf.DUMMYFUNCTION("IMPORTRANGE(""https://docs.google.com/spreadsheets/d/1hrRqxxacrLITR_JGMRVbhSRCIZIU8gAv0o_aOkHz68M/edit#gid=763155734?usp=sharing"",""1-12每月!$C8"")"),26460.0)</f>
        <v>26460</v>
      </c>
      <c r="S8" s="83">
        <f>IFERROR(__xludf.DUMMYFUNCTION("IMPORTRANGE(""https://docs.google.com/spreadsheets/d/1AKS3XWcgwNLFRbGU-lJ3UBHDQNdglvKwrv4_Bpp1IjU/edit#gid=73116376?usp=sharing"",""1-12每月!$C8"")"),26679.0)</f>
        <v>26679</v>
      </c>
      <c r="T8" s="83">
        <f>IFERROR(__xludf.DUMMYFUNCTION("IMPORTRANGE(""https://docs.google.com/spreadsheets/d/1wGGXGHkWT5JsjUDTy4FnHN_O9ae4MADbMykqIWVThNc/edit#gid=297806252?usp=sharing"",""1-12每月!$C8"")"),26567.0)</f>
        <v>26567</v>
      </c>
      <c r="U8" s="83">
        <f>IFERROR(__xludf.DUMMYFUNCTION("IMPORTRANGE(""https://docs.google.com/spreadsheets/d/1ShTgtQQDjMKpYx-TJ_lwdxnWSzJNUcNnzR3fJjoaZec/edit#gid=66107904?usp=sharing"",""1-12每月!$C8"")"),21758.0)</f>
        <v>21758</v>
      </c>
      <c r="V8" s="83">
        <f>IFERROR(__xludf.DUMMYFUNCTION("IMPORTRANGE(""https://docs.google.com/spreadsheets/d/1_eyuyKbXFCJd6fVFEKQwugwYCbRCmmWN_M7XR1dtOb8/edit#gid=951918895?usp=sharing"",""1-12每月!$C8"")"),26610.0)</f>
        <v>26610</v>
      </c>
      <c r="W8" s="83">
        <f>IFERROR(__xludf.DUMMYFUNCTION("IMPORTRANGE(""https://docs.google.com/spreadsheets/d/1yEpHI9_Y4w8sRmPP9C-mYK4NMfVuTJifGLMj4FMdqek/edit#gid=799087919?usp=sharing"",""1-12每月!$C8"")"),20230.0)</f>
        <v>20230</v>
      </c>
      <c r="X8" s="83">
        <f>IFERROR(__xludf.DUMMYFUNCTION("IMPORTRANGE(""https://docs.google.com/spreadsheets/d/1Vbyb9GlrY6jOwvoGyZFB96f7WXYjkT6gvTE37DPDXDI/edit#gid=9591526?usp=sharing"",""1-12每月!$C8"")"),21416.0)</f>
        <v>21416</v>
      </c>
      <c r="Y8" s="83">
        <f>IFERROR(__xludf.DUMMYFUNCTION("IMPORTRANGE(""https://docs.google.com/spreadsheets/d/1qeckoJwzWQAg8zQ80D-QJP4pnVYH6l2juaUyHtOu6y8/edit#gid=1905704096?usp=sharing"",""1-12每月!$C8"")"),21768.0)</f>
        <v>21768</v>
      </c>
      <c r="Z8" s="83">
        <f>IFERROR(__xludf.DUMMYFUNCTION("IMPORTRANGE(""https://docs.google.com/spreadsheets/d/1BcbIi7AD1VDpy_wMQ0YjCG-iuQy0_tkCVqr72a0Pwbg/edit#gid=1099513714?usp=sharing"",""1-12每月!$C8"")"),24431.0)</f>
        <v>24431</v>
      </c>
      <c r="AA8" s="83">
        <f>IFERROR(__xludf.DUMMYFUNCTION("IMPORTRANGE(""https://docs.google.com/spreadsheets/d/1cIFCQPaYiOmIt2O3vkEx5eto8sfRtx3JtAWJ1fv31HI/edit#gid=432689709?usp=sharing"",""1-12每月!$C8"")"),23008.0)</f>
        <v>23008</v>
      </c>
      <c r="AB8" s="83">
        <f>IFERROR(__xludf.DUMMYFUNCTION("IMPORTRANGE(""https://docs.google.com/spreadsheets/d/1C8ECYlbes2CJkHHGOAyOYVfrP7PdlGr8RMjK7KZd0_o/edit#gid=495469277?usp=sharing"",""1-12每月!$C8"")"),27566.0)</f>
        <v>27566</v>
      </c>
      <c r="AC8" s="83">
        <f>IFERROR(__xludf.DUMMYFUNCTION("IMPORTRANGE(""https://docs.google.com/spreadsheets/d/1ettcrhLPK6tkvHZxDTyU2bGIpGSi2ynG91ln0fqz9iE/edit#gid=1364213386?usp=sharing"",""1-12每月!$C8"")"),28024.0)</f>
        <v>28024</v>
      </c>
      <c r="AD8" s="83">
        <f>IFERROR(__xludf.DUMMYFUNCTION("IMPORTRANGE(""https://docs.google.com/spreadsheets/d/1xUhm-MtqzfUO8M5WEWVv9w2EFkv5_PHMOsAlA3CcCWU/edit#gid=1700470961?usp=sharing"",""1-12每月!$C8"")"),24306.0)</f>
        <v>24306</v>
      </c>
      <c r="AE8" s="83">
        <f>IFERROR(__xludf.DUMMYFUNCTION("IMPORTRANGE(""https://docs.google.com/spreadsheets/d/1DP8wl0QQLYSZ8R2aQ8wNmiAUXn7lVrqMsdTccpBmnQc/edit#gid=1145593933?usp=sharing"",""1-12每月!$C8"")"),62523.0)</f>
        <v>62523</v>
      </c>
      <c r="AF8" s="83">
        <f>IFERROR(__xludf.DUMMYFUNCTION("IMPORTRANGE(""https://docs.google.com/spreadsheets/d/17hbKAHrpKLEbG3r9s1Ay3fOGzvOBzSu3Bn_CD4JNLhY/edit#gid=756408948?usp=sharing"",""1-12每月!$C8"")"),55585.0)</f>
        <v>55585</v>
      </c>
      <c r="AG8" s="83">
        <f>IFERROR(__xludf.DUMMYFUNCTION("IMPORTRANGE(""https://docs.google.com/spreadsheets/d/1qeecSCKZ78ENQrsyUYpSNZqvo0-Y-uuGKFA1F06yLEM/edit#gid=874445072?usp=sharing"",""1-12每月!$C8"")"),30717.0)</f>
        <v>30717</v>
      </c>
      <c r="AH8" s="83">
        <f>IFERROR(__xludf.DUMMYFUNCTION("IMPORTRANGE(""https://docs.google.com/spreadsheets/d/1BSX0y1fIKw9-3VTr627UzGVjwKe74kwBkuFnvlaueNo/edit#gid=1113655470"",""1-12每月!$C8"")"),96832.0)</f>
        <v>96832</v>
      </c>
      <c r="AI8" s="83">
        <f>IFERROR(__xludf.DUMMYFUNCTION("IMPORTRANGE(""https://docs.google.com/spreadsheets/d/1bQzlrSGiVqBrfQ6FKnw67vhBELFgthonryGzmQabVFQ/edit#gid=1015697053"",""1-12每月!$C8"")"),53632.0)</f>
        <v>53632</v>
      </c>
      <c r="AJ8" s="83">
        <f>IFERROR(__xludf.DUMMYFUNCTION("IMPORTRANGE(""https://docs.google.com/spreadsheets/d/1Pem-mgCz4CF6EUKNVxDQx16g9jie0F5YNDQ_cPnMHYs"",""1-12每月!$C8"")"),61757.0)</f>
        <v>61757</v>
      </c>
      <c r="AK8" s="83">
        <f>IFERROR(__xludf.DUMMYFUNCTION("IMPORTRANGE(""https://docs.google.com/spreadsheets/d/1ZoRtUl0m9T3TpY8H-9-ntNBO_zrYrgNKuAe_XfTeFnU"",""1-12每月!$C8"")"),177196.0)</f>
        <v>177196</v>
      </c>
      <c r="AL8" s="83">
        <f>IFERROR(__xludf.DUMMYFUNCTION("IMPORTRANGE(""https://docs.google.com/spreadsheets/d/1Y9Uv46r1nA3ixCGwTWZqhGQWDt4KVX4iXmhJgHL5CGQ"",""1-12每月!$C8"")"),246367.0)</f>
        <v>246367</v>
      </c>
      <c r="AM8" s="83">
        <f>IFERROR(__xludf.DUMMYFUNCTION("IMPORTRANGE(""https://docs.google.com/spreadsheets/d/1E3X732-CKfouAVQOwKyrePWwI1Bwg9NHD0VD42lyiu4/edit?gid=1513765949#gid=1513765949"",""1-12每月!$C8"")"),59145.0)</f>
        <v>59145</v>
      </c>
      <c r="AN8" s="114"/>
      <c r="AO8" s="114"/>
      <c r="AP8" s="114"/>
      <c r="AQ8" s="114"/>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IFERROR(__xludf.DUMMYFUNCTION("IMPORTRANGE(""https://docs.google.com/spreadsheets/d/1dffLfsI-BGVz-K0zdrsWfGaqrFfoLJAhq001merp6Rk/edit?usp=sharing"",""1-12每月!$B9"")"),58934.0)</f>
        <v>58934</v>
      </c>
      <c r="N9" s="83">
        <f>IFERROR(__xludf.DUMMYFUNCTION("IMPORTRANGE(""https://docs.google.com/spreadsheets/d/1SzxpZPUDnwxS8mSOLGEH5NbWU7ZW_VcRmIn7psOvuTs/edit#gid=1650312294?usp=sharing"",""1-12每月!$B9"")"),35998.0)</f>
        <v>35998</v>
      </c>
      <c r="O9" s="83">
        <f>IFERROR(__xludf.DUMMYFUNCTION("IMPORTRANGE(""https://docs.google.com/spreadsheets/d/1ta9i7cAkOPF0LapwmU_YEDA4IPQvKNuaYVMY8vIVPwI/edit#gid=1607741572?usp=sharing"",""1-12每月!$B9"")"),37100.0)</f>
        <v>37100</v>
      </c>
      <c r="P9" s="83">
        <f>IFERROR(__xludf.DUMMYFUNCTION("IMPORTRANGE(""https://docs.google.com/spreadsheets/d/1f4WWQfcNBonYqfzcaBhJlHzPwh34sx4U6naz-Aw2G4I/edit#gid=2097425894?usp=sharing"",""1-12每月!$C9"")"),12099.0)</f>
        <v>12099</v>
      </c>
      <c r="Q9" s="83">
        <f>IFERROR(__xludf.DUMMYFUNCTION("IMPORTRANGE(""https://docs.google.com/spreadsheets/d/1pCmmgCj7Y_SQPZLsiVd3yvND9oLyryVfBwNxC6OUwm8/edit#gid=170549058?usp=sharing"",""1-12每月!$C9"")"),33518.0)</f>
        <v>33518</v>
      </c>
      <c r="R9" s="83">
        <f>IFERROR(__xludf.DUMMYFUNCTION("IMPORTRANGE(""https://docs.google.com/spreadsheets/d/1hrRqxxacrLITR_JGMRVbhSRCIZIU8gAv0o_aOkHz68M/edit#gid=763155734?usp=sharing"",""1-12每月!$C9"")"),29475.0)</f>
        <v>29475</v>
      </c>
      <c r="S9" s="83">
        <f>IFERROR(__xludf.DUMMYFUNCTION("IMPORTRANGE(""https://docs.google.com/spreadsheets/d/1AKS3XWcgwNLFRbGU-lJ3UBHDQNdglvKwrv4_Bpp1IjU/edit#gid=73116376?usp=sharing"",""1-12每月!$C9"")"),19554.0)</f>
        <v>19554</v>
      </c>
      <c r="T9" s="83">
        <f>IFERROR(__xludf.DUMMYFUNCTION("IMPORTRANGE(""https://docs.google.com/spreadsheets/d/1wGGXGHkWT5JsjUDTy4FnHN_O9ae4MADbMykqIWVThNc/edit#gid=297806252?usp=sharing"",""1-12每月!$C9"")"),21184.0)</f>
        <v>21184</v>
      </c>
      <c r="U9" s="83">
        <f>IFERROR(__xludf.DUMMYFUNCTION("IMPORTRANGE(""https://docs.google.com/spreadsheets/d/1ShTgtQQDjMKpYx-TJ_lwdxnWSzJNUcNnzR3fJjoaZec/edit#gid=66107904?usp=sharing"",""1-12每月!$C9"")"),19676.0)</f>
        <v>19676</v>
      </c>
      <c r="V9" s="83">
        <f>IFERROR(__xludf.DUMMYFUNCTION("IMPORTRANGE(""https://docs.google.com/spreadsheets/d/1_eyuyKbXFCJd6fVFEKQwugwYCbRCmmWN_M7XR1dtOb8/edit#gid=951918895?usp=sharing"",""1-12每月!$C9"")"),29245.0)</f>
        <v>29245</v>
      </c>
      <c r="W9" s="83">
        <f>IFERROR(__xludf.DUMMYFUNCTION("IMPORTRANGE(""https://docs.google.com/spreadsheets/d/1yEpHI9_Y4w8sRmPP9C-mYK4NMfVuTJifGLMj4FMdqek/edit#gid=799087919?usp=sharing"",""1-12每月!$C9"")"),18708.0)</f>
        <v>18708</v>
      </c>
      <c r="X9" s="83">
        <f>IFERROR(__xludf.DUMMYFUNCTION("IMPORTRANGE(""https://docs.google.com/spreadsheets/d/1Vbyb9GlrY6jOwvoGyZFB96f7WXYjkT6gvTE37DPDXDI/edit#gid=9591526?usp=sharing"",""1-12每月!$C9"")"),15583.0)</f>
        <v>15583</v>
      </c>
      <c r="Y9" s="83">
        <f>IFERROR(__xludf.DUMMYFUNCTION("IMPORTRANGE(""https://docs.google.com/spreadsheets/d/1qeckoJwzWQAg8zQ80D-QJP4pnVYH6l2juaUyHtOu6y8/edit#gid=1905704096?usp=sharing"",""1-12每月!$C9"")"),16901.0)</f>
        <v>16901</v>
      </c>
      <c r="Z9" s="83">
        <f>IFERROR(__xludf.DUMMYFUNCTION("IMPORTRANGE(""https://docs.google.com/spreadsheets/d/1BcbIi7AD1VDpy_wMQ0YjCG-iuQy0_tkCVqr72a0Pwbg/edit#gid=1099513714?usp=sharing"",""1-12每月!$C9"")"),17479.0)</f>
        <v>17479</v>
      </c>
      <c r="AA9" s="83">
        <f>IFERROR(__xludf.DUMMYFUNCTION("IMPORTRANGE(""https://docs.google.com/spreadsheets/d/1cIFCQPaYiOmIt2O3vkEx5eto8sfRtx3JtAWJ1fv31HI/edit#gid=432689709?usp=sharing"",""1-12每月!$C9"")"),24903.0)</f>
        <v>24903</v>
      </c>
      <c r="AB9" s="83">
        <f>IFERROR(__xludf.DUMMYFUNCTION("IMPORTRANGE(""https://docs.google.com/spreadsheets/d/1C8ECYlbes2CJkHHGOAyOYVfrP7PdlGr8RMjK7KZd0_o/edit#gid=495469277?usp=sharing"",""1-12每月!$C9"")"),25696.0)</f>
        <v>25696</v>
      </c>
      <c r="AC9" s="83">
        <f>IFERROR(__xludf.DUMMYFUNCTION("IMPORTRANGE(""https://docs.google.com/spreadsheets/d/1ettcrhLPK6tkvHZxDTyU2bGIpGSi2ynG91ln0fqz9iE/edit#gid=1364213386?usp=sharing"",""1-12每月!$C9"")"),28184.0)</f>
        <v>28184</v>
      </c>
      <c r="AD9" s="83">
        <f>IFERROR(__xludf.DUMMYFUNCTION("IMPORTRANGE(""https://docs.google.com/spreadsheets/d/1xUhm-MtqzfUO8M5WEWVv9w2EFkv5_PHMOsAlA3CcCWU/edit#gid=1700470961?usp=sharing"",""1-12每月!$C9"")"),21390.0)</f>
        <v>21390</v>
      </c>
      <c r="AE9" s="83">
        <f>IFERROR(__xludf.DUMMYFUNCTION("IMPORTRANGE(""https://docs.google.com/spreadsheets/d/1DP8wl0QQLYSZ8R2aQ8wNmiAUXn7lVrqMsdTccpBmnQc/edit#gid=1145593933?usp=sharing"",""1-12每月!$C9"")"),31473.0)</f>
        <v>31473</v>
      </c>
      <c r="AF9" s="83">
        <f>IFERROR(__xludf.DUMMYFUNCTION("IMPORTRANGE(""https://docs.google.com/spreadsheets/d/17hbKAHrpKLEbG3r9s1Ay3fOGzvOBzSu3Bn_CD4JNLhY/edit#gid=756408948?usp=sharing"",""1-12每月!$C9"")"),18391.720000000005)</f>
        <v>18391.72</v>
      </c>
      <c r="AG9" s="83">
        <f>IFERROR(__xludf.DUMMYFUNCTION("IMPORTRANGE(""https://docs.google.com/spreadsheets/d/1qeecSCKZ78ENQrsyUYpSNZqvo0-Y-uuGKFA1F06yLEM/edit#gid=874445072?usp=sharing"",""1-12每月!$C9"")"),22311.0)</f>
        <v>22311</v>
      </c>
      <c r="AH9" s="83">
        <f>IFERROR(__xludf.DUMMYFUNCTION("IMPORTRANGE(""https://docs.google.com/spreadsheets/d/1BSX0y1fIKw9-3VTr627UzGVjwKe74kwBkuFnvlaueNo/edit#gid=1113655470"",""1-12每月!$C9"")"),30376.0)</f>
        <v>30376</v>
      </c>
      <c r="AI9" s="83">
        <f>IFERROR(__xludf.DUMMYFUNCTION("IMPORTRANGE(""https://docs.google.com/spreadsheets/d/1bQzlrSGiVqBrfQ6FKnw67vhBELFgthonryGzmQabVFQ/edit#gid=1015697053"",""1-12每月!$C9"")"),22817.0)</f>
        <v>22817</v>
      </c>
      <c r="AJ9" s="83">
        <f>IFERROR(__xludf.DUMMYFUNCTION("IMPORTRANGE(""https://docs.google.com/spreadsheets/d/1Pem-mgCz4CF6EUKNVxDQx16g9jie0F5YNDQ_cPnMHYs"",""1-12每月!$C9"")"),49160.0)</f>
        <v>49160</v>
      </c>
      <c r="AK9" s="83">
        <f>IFERROR(__xludf.DUMMYFUNCTION("IMPORTRANGE(""https://docs.google.com/spreadsheets/d/1ZoRtUl0m9T3TpY8H-9-ntNBO_zrYrgNKuAe_XfTeFnU"",""1-12每月!$C9"")"),187669.0)</f>
        <v>187669</v>
      </c>
      <c r="AL9" s="83">
        <f>IFERROR(__xludf.DUMMYFUNCTION("IMPORTRANGE(""https://docs.google.com/spreadsheets/d/1Y9Uv46r1nA3ixCGwTWZqhGQWDt4KVX4iXmhJgHL5CGQ"",""1-12每月!$C9"")"),222440.0)</f>
        <v>222440</v>
      </c>
      <c r="AM9" s="83">
        <f>IFERROR(__xludf.DUMMYFUNCTION("IMPORTRANGE(""https://docs.google.com/spreadsheets/d/1E3X732-CKfouAVQOwKyrePWwI1Bwg9NHD0VD42lyiu4/edit?gid=1513765949#gid=1513765949"",""1-12每月!$C9"")"),66444.0)</f>
        <v>66444</v>
      </c>
      <c r="AN9" s="114"/>
      <c r="AO9" s="114"/>
      <c r="AP9" s="114"/>
      <c r="AQ9" s="114"/>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IFERROR(__xludf.DUMMYFUNCTION("IMPORTRANGE(""https://docs.google.com/spreadsheets/d/1dffLfsI-BGVz-K0zdrsWfGaqrFfoLJAhq001merp6Rk/edit?usp=sharing"",""1-12每月!$B10"")"),46090.0)</f>
        <v>46090</v>
      </c>
      <c r="N10" s="83">
        <f>IFERROR(__xludf.DUMMYFUNCTION("IMPORTRANGE(""https://docs.google.com/spreadsheets/d/1SzxpZPUDnwxS8mSOLGEH5NbWU7ZW_VcRmIn7psOvuTs/edit#gid=1650312294?usp=sharing"",""1-12每月!$B10"")"),36736.0)</f>
        <v>36736</v>
      </c>
      <c r="O10" s="83">
        <f>IFERROR(__xludf.DUMMYFUNCTION("IMPORTRANGE(""https://docs.google.com/spreadsheets/d/1ta9i7cAkOPF0LapwmU_YEDA4IPQvKNuaYVMY8vIVPwI/edit#gid=1607741572?usp=sharing"",""1-12每月!$B10"")"),29982.0)</f>
        <v>29982</v>
      </c>
      <c r="P10" s="83">
        <f>IFERROR(__xludf.DUMMYFUNCTION("IMPORTRANGE(""https://docs.google.com/spreadsheets/d/1f4WWQfcNBonYqfzcaBhJlHzPwh34sx4U6naz-Aw2G4I/edit#gid=2097425894?usp=sharing"",""1-12每月!$C10"")"),14831.0)</f>
        <v>14831</v>
      </c>
      <c r="Q10" s="83">
        <f>IFERROR(__xludf.DUMMYFUNCTION("IMPORTRANGE(""https://docs.google.com/spreadsheets/d/1pCmmgCj7Y_SQPZLsiVd3yvND9oLyryVfBwNxC6OUwm8/edit#gid=170549058?usp=sharing"",""1-12每月!$C10"")"),30685.0)</f>
        <v>30685</v>
      </c>
      <c r="R10" s="83">
        <f>IFERROR(__xludf.DUMMYFUNCTION("IMPORTRANGE(""https://docs.google.com/spreadsheets/d/1hrRqxxacrLITR_JGMRVbhSRCIZIU8gAv0o_aOkHz68M/edit#gid=763155734?usp=sharing"",""1-12每月!$C10"")"),21759.0)</f>
        <v>21759</v>
      </c>
      <c r="S10" s="83">
        <f>IFERROR(__xludf.DUMMYFUNCTION("IMPORTRANGE(""https://docs.google.com/spreadsheets/d/1AKS3XWcgwNLFRbGU-lJ3UBHDQNdglvKwrv4_Bpp1IjU/edit#gid=73116376?usp=sharing"",""1-12每月!$C10"")"),20751.0)</f>
        <v>20751</v>
      </c>
      <c r="T10" s="83">
        <f>IFERROR(__xludf.DUMMYFUNCTION("IMPORTRANGE(""https://docs.google.com/spreadsheets/d/1wGGXGHkWT5JsjUDTy4FnHN_O9ae4MADbMykqIWVThNc/edit#gid=297806252?usp=sharing"",""1-12每月!$C10"")"),21214.0)</f>
        <v>21214</v>
      </c>
      <c r="U10" s="83">
        <f>IFERROR(__xludf.DUMMYFUNCTION("IMPORTRANGE(""https://docs.google.com/spreadsheets/d/1ShTgtQQDjMKpYx-TJ_lwdxnWSzJNUcNnzR3fJjoaZec/edit#gid=66107904?usp=sharing"",""1-12每月!$C10"")"),15443.0)</f>
        <v>15443</v>
      </c>
      <c r="V10" s="83">
        <f>IFERROR(__xludf.DUMMYFUNCTION("IMPORTRANGE(""https://docs.google.com/spreadsheets/d/1_eyuyKbXFCJd6fVFEKQwugwYCbRCmmWN_M7XR1dtOb8/edit#gid=951918895?usp=sharing"",""1-12每月!$C10"")"),17335.0)</f>
        <v>17335</v>
      </c>
      <c r="W10" s="83">
        <f>IFERROR(__xludf.DUMMYFUNCTION("IMPORTRANGE(""https://docs.google.com/spreadsheets/d/1yEpHI9_Y4w8sRmPP9C-mYK4NMfVuTJifGLMj4FMdqek/edit#gid=799087919?usp=sharing"",""1-12每月!$C10"")"),14639.0)</f>
        <v>14639</v>
      </c>
      <c r="X10" s="83">
        <f>IFERROR(__xludf.DUMMYFUNCTION("IMPORTRANGE(""https://docs.google.com/spreadsheets/d/1Vbyb9GlrY6jOwvoGyZFB96f7WXYjkT6gvTE37DPDXDI/edit#gid=9591526?usp=sharing"",""1-12每月!$C10"")"),13357.0)</f>
        <v>13357</v>
      </c>
      <c r="Y10" s="83">
        <f>IFERROR(__xludf.DUMMYFUNCTION("IMPORTRANGE(""https://docs.google.com/spreadsheets/d/1qeckoJwzWQAg8zQ80D-QJP4pnVYH6l2juaUyHtOu6y8/edit#gid=1905704096?usp=sharing"",""1-12每月!$C10"")"),11829.0)</f>
        <v>11829</v>
      </c>
      <c r="Z10" s="83">
        <f>IFERROR(__xludf.DUMMYFUNCTION("IMPORTRANGE(""https://docs.google.com/spreadsheets/d/1BcbIi7AD1VDpy_wMQ0YjCG-iuQy0_tkCVqr72a0Pwbg/edit#gid=1099513714?usp=sharing"",""1-12每月!$C10"")"),18278.0)</f>
        <v>18278</v>
      </c>
      <c r="AA10" s="83">
        <f>IFERROR(__xludf.DUMMYFUNCTION("IMPORTRANGE(""https://docs.google.com/spreadsheets/d/1cIFCQPaYiOmIt2O3vkEx5eto8sfRtx3JtAWJ1fv31HI/edit#gid=432689709?usp=sharing"",""1-12每月!$C10"")"),21084.0)</f>
        <v>21084</v>
      </c>
      <c r="AB10" s="83">
        <f>IFERROR(__xludf.DUMMYFUNCTION("IMPORTRANGE(""https://docs.google.com/spreadsheets/d/1C8ECYlbes2CJkHHGOAyOYVfrP7PdlGr8RMjK7KZd0_o/edit#gid=495469277?usp=sharing"",""1-12每月!$C10"")"),24040.0)</f>
        <v>24040</v>
      </c>
      <c r="AC10" s="83">
        <f>IFERROR(__xludf.DUMMYFUNCTION("IMPORTRANGE(""https://docs.google.com/spreadsheets/d/1ettcrhLPK6tkvHZxDTyU2bGIpGSi2ynG91ln0fqz9iE/edit#gid=1364213386?usp=sharing"",""1-12每月!$C10"")"),26307.0)</f>
        <v>26307</v>
      </c>
      <c r="AD10" s="83">
        <f>IFERROR(__xludf.DUMMYFUNCTION("IMPORTRANGE(""https://docs.google.com/spreadsheets/d/1xUhm-MtqzfUO8M5WEWVv9w2EFkv5_PHMOsAlA3CcCWU/edit#gid=1700470961?usp=sharing"",""1-12每月!$C10"")"),15107.0)</f>
        <v>15107</v>
      </c>
      <c r="AE10" s="83">
        <f>IFERROR(__xludf.DUMMYFUNCTION("IMPORTRANGE(""https://docs.google.com/spreadsheets/d/1DP8wl0QQLYSZ8R2aQ8wNmiAUXn7lVrqMsdTccpBmnQc/edit#gid=1145593933?usp=sharing"",""1-12每月!$C10"")"),32438.219999999998)</f>
        <v>32438.22</v>
      </c>
      <c r="AF10" s="83">
        <f>IFERROR(__xludf.DUMMYFUNCTION("IMPORTRANGE(""https://docs.google.com/spreadsheets/d/17hbKAHrpKLEbG3r9s1Ay3fOGzvOBzSu3Bn_CD4JNLhY/edit#gid=756408948?usp=sharing"",""1-12每月!$C10"")"),56778.020000000004)</f>
        <v>56778.02</v>
      </c>
      <c r="AG10" s="83">
        <f>IFERROR(__xludf.DUMMYFUNCTION("IMPORTRANGE(""https://docs.google.com/spreadsheets/d/1qeecSCKZ78ENQrsyUYpSNZqvo0-Y-uuGKFA1F06yLEM/edit#gid=874445072?usp=sharing"",""1-12每月!$C10"")"),55246.0)</f>
        <v>55246</v>
      </c>
      <c r="AH10" s="83">
        <f>IFERROR(__xludf.DUMMYFUNCTION("IMPORTRANGE(""https://docs.google.com/spreadsheets/d/1BSX0y1fIKw9-3VTr627UzGVjwKe74kwBkuFnvlaueNo/edit#gid=1113655470"",""1-12每月!$C10"")"),0.0)</f>
        <v>0</v>
      </c>
      <c r="AI10" s="83">
        <f>IFERROR(__xludf.DUMMYFUNCTION("IMPORTRANGE(""https://docs.google.com/spreadsheets/d/1bQzlrSGiVqBrfQ6FKnw67vhBELFgthonryGzmQabVFQ/edit#gid=1015697053"",""1-12每月!$C10"")"),30967.0)</f>
        <v>30967</v>
      </c>
      <c r="AJ10" s="83">
        <f>IFERROR(__xludf.DUMMYFUNCTION("IMPORTRANGE(""https://docs.google.com/spreadsheets/d/1Pem-mgCz4CF6EUKNVxDQx16g9jie0F5YNDQ_cPnMHYs"",""1-12每月!$C10"")"),50082.0)</f>
        <v>50082</v>
      </c>
      <c r="AK10" s="83">
        <f>IFERROR(__xludf.DUMMYFUNCTION("IMPORTRANGE(""https://docs.google.com/spreadsheets/d/1ZoRtUl0m9T3TpY8H-9-ntNBO_zrYrgNKuAe_XfTeFnU"",""1-12每月!$C10"")"),200990.0)</f>
        <v>200990</v>
      </c>
      <c r="AL10" s="83">
        <f>IFERROR(__xludf.DUMMYFUNCTION("IMPORTRANGE(""https://docs.google.com/spreadsheets/d/1Y9Uv46r1nA3ixCGwTWZqhGQWDt4KVX4iXmhJgHL5CGQ"",""1-12每月!$C10"")"),198421.0)</f>
        <v>198421</v>
      </c>
      <c r="AM10" s="83" t="str">
        <f>IFERROR(__xludf.DUMMYFUNCTION("IMPORTRANGE(""https://docs.google.com/spreadsheets/d/1E3X732-CKfouAVQOwKyrePWwI1Bwg9NHD0VD42lyiu4/edit?gid=1513765949#gid=1513765949"",""1-12每月!$C1"")"),"")</f>
        <v/>
      </c>
      <c r="AN10" s="115"/>
      <c r="AO10" s="115"/>
      <c r="AP10" s="115"/>
      <c r="AQ10" s="115"/>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IFERROR(__xludf.DUMMYFUNCTION("IMPORTRANGE(""https://docs.google.com/spreadsheets/d/1dffLfsI-BGVz-K0zdrsWfGaqrFfoLJAhq001merp6Rk/edit?usp=sharing"",""1-12每月!$B11"")"),83678.0)</f>
        <v>83678</v>
      </c>
      <c r="N11" s="83">
        <f>IFERROR(__xludf.DUMMYFUNCTION("IMPORTRANGE(""https://docs.google.com/spreadsheets/d/1SzxpZPUDnwxS8mSOLGEH5NbWU7ZW_VcRmIn7psOvuTs/edit#gid=1650312294?usp=sharing"",""1-12每月!$B11"")"),51528.0)</f>
        <v>51528</v>
      </c>
      <c r="O11" s="83">
        <f>IFERROR(__xludf.DUMMYFUNCTION("IMPORTRANGE(""https://docs.google.com/spreadsheets/d/1ta9i7cAkOPF0LapwmU_YEDA4IPQvKNuaYVMY8vIVPwI/edit#gid=1607741572?usp=sharing"",""1-12每月!$B11"")"),56028.0)</f>
        <v>56028</v>
      </c>
      <c r="P11" s="83">
        <f>IFERROR(__xludf.DUMMYFUNCTION("IMPORTRANGE(""https://docs.google.com/spreadsheets/d/1f4WWQfcNBonYqfzcaBhJlHzPwh34sx4U6naz-Aw2G4I/edit#gid=2097425894?usp=sharing"",""1-12每月!$C11"")"),49679.0)</f>
        <v>49679</v>
      </c>
      <c r="Q11" s="83">
        <f>IFERROR(__xludf.DUMMYFUNCTION("IMPORTRANGE(""https://docs.google.com/spreadsheets/d/1pCmmgCj7Y_SQPZLsiVd3yvND9oLyryVfBwNxC6OUwm8/edit#gid=170549058?usp=sharing"",""1-12每月!$C11"")"),37259.0)</f>
        <v>37259</v>
      </c>
      <c r="R11" s="83">
        <f>IFERROR(__xludf.DUMMYFUNCTION("IMPORTRANGE(""https://docs.google.com/spreadsheets/d/1hrRqxxacrLITR_JGMRVbhSRCIZIU8gAv0o_aOkHz68M/edit#gid=763155734?usp=sharing"",""1-12每月!$C11"")"),33605.0)</f>
        <v>33605</v>
      </c>
      <c r="S11" s="83">
        <f>IFERROR(__xludf.DUMMYFUNCTION("IMPORTRANGE(""https://docs.google.com/spreadsheets/d/1AKS3XWcgwNLFRbGU-lJ3UBHDQNdglvKwrv4_Bpp1IjU/edit#gid=73116376?usp=sharing"",""1-12每月!$C11"")"),30653.0)</f>
        <v>30653</v>
      </c>
      <c r="T11" s="83">
        <f>IFERROR(__xludf.DUMMYFUNCTION("IMPORTRANGE(""https://docs.google.com/spreadsheets/d/1wGGXGHkWT5JsjUDTy4FnHN_O9ae4MADbMykqIWVThNc/edit#gid=297806252?usp=sharing"",""1-12每月!$C11"")"),26258.0)</f>
        <v>26258</v>
      </c>
      <c r="U11" s="83">
        <f>IFERROR(__xludf.DUMMYFUNCTION("IMPORTRANGE(""https://docs.google.com/spreadsheets/d/1ShTgtQQDjMKpYx-TJ_lwdxnWSzJNUcNnzR3fJjoaZec/edit#gid=66107904?usp=sharing"",""1-12每月!$C11"")"),25398.0)</f>
        <v>25398</v>
      </c>
      <c r="V11" s="83">
        <f>IFERROR(__xludf.DUMMYFUNCTION("IMPORTRANGE(""https://docs.google.com/spreadsheets/d/1_eyuyKbXFCJd6fVFEKQwugwYCbRCmmWN_M7XR1dtOb8/edit#gid=951918895?usp=sharing"",""1-12每月!$C11"")"),27809.0)</f>
        <v>27809</v>
      </c>
      <c r="W11" s="83">
        <f>IFERROR(__xludf.DUMMYFUNCTION("IMPORTRANGE(""https://docs.google.com/spreadsheets/d/1yEpHI9_Y4w8sRmPP9C-mYK4NMfVuTJifGLMj4FMdqek/edit#gid=799087919?usp=sharing"",""1-12每月!$C11"")"),24891.0)</f>
        <v>24891</v>
      </c>
      <c r="X11" s="83">
        <f>IFERROR(__xludf.DUMMYFUNCTION("IMPORTRANGE(""https://docs.google.com/spreadsheets/d/1Vbyb9GlrY6jOwvoGyZFB96f7WXYjkT6gvTE37DPDXDI/edit#gid=9591526?usp=sharing"",""1-12每月!$C11"")"),26078.0)</f>
        <v>26078</v>
      </c>
      <c r="Y11" s="83">
        <f>IFERROR(__xludf.DUMMYFUNCTION("IMPORTRANGE(""https://docs.google.com/spreadsheets/d/1qeckoJwzWQAg8zQ80D-QJP4pnVYH6l2juaUyHtOu6y8/edit#gid=1905704096?usp=sharing"",""1-12每月!$C11"")"),24732.0)</f>
        <v>24732</v>
      </c>
      <c r="Z11" s="83">
        <f>IFERROR(__xludf.DUMMYFUNCTION("IMPORTRANGE(""https://docs.google.com/spreadsheets/d/1BcbIi7AD1VDpy_wMQ0YjCG-iuQy0_tkCVqr72a0Pwbg/edit#gid=1099513714?usp=sharing"",""1-12每月!$C11"")"),27800.0)</f>
        <v>27800</v>
      </c>
      <c r="AA11" s="83">
        <f>IFERROR(__xludf.DUMMYFUNCTION("IMPORTRANGE(""https://docs.google.com/spreadsheets/d/1cIFCQPaYiOmIt2O3vkEx5eto8sfRtx3JtAWJ1fv31HI/edit#gid=432689709?usp=sharing"",""1-12每月!$C11"")"),32030.0)</f>
        <v>32030</v>
      </c>
      <c r="AB11" s="83">
        <f>IFERROR(__xludf.DUMMYFUNCTION("IMPORTRANGE(""https://docs.google.com/spreadsheets/d/1C8ECYlbes2CJkHHGOAyOYVfrP7PdlGr8RMjK7KZd0_o/edit#gid=495469277?usp=sharing"",""1-12每月!$C11"")"),40358.0)</f>
        <v>40358</v>
      </c>
      <c r="AC11" s="83">
        <f>IFERROR(__xludf.DUMMYFUNCTION("IMPORTRANGE(""https://docs.google.com/spreadsheets/d/1ettcrhLPK6tkvHZxDTyU2bGIpGSi2ynG91ln0fqz9iE/edit#gid=1364213386?usp=sharing"",""1-12每月!$C11"")"),27477.0)</f>
        <v>27477</v>
      </c>
      <c r="AD11" s="83">
        <f>IFERROR(__xludf.DUMMYFUNCTION("IMPORTRANGE(""https://docs.google.com/spreadsheets/d/1xUhm-MtqzfUO8M5WEWVv9w2EFkv5_PHMOsAlA3CcCWU/edit#gid=1700470961?usp=sharing"",""1-12每月!$C11"")"),30129.0)</f>
        <v>30129</v>
      </c>
      <c r="AE11" s="83">
        <f>IFERROR(__xludf.DUMMYFUNCTION("IMPORTRANGE(""https://docs.google.com/spreadsheets/d/1DP8wl0QQLYSZ8R2aQ8wNmiAUXn7lVrqMsdTccpBmnQc/edit#gid=1145593933?usp=sharing"",""1-12每月!$C11"")"),50428.0)</f>
        <v>50428</v>
      </c>
      <c r="AF11" s="83">
        <f>IFERROR(__xludf.DUMMYFUNCTION("IMPORTRANGE(""https://docs.google.com/spreadsheets/d/17hbKAHrpKLEbG3r9s1Ay3fOGzvOBzSu3Bn_CD4JNLhY/edit#gid=756408948?usp=sharing"",""1-12每月!$C11"")"),65770.58000000002)</f>
        <v>65770.58</v>
      </c>
      <c r="AG11" s="83">
        <f>IFERROR(__xludf.DUMMYFUNCTION("IMPORTRANGE(""https://docs.google.com/spreadsheets/d/1qeecSCKZ78ENQrsyUYpSNZqvo0-Y-uuGKFA1F06yLEM/edit#gid=874445072?usp=sharing"",""1-12每月!$C11"")"),59251.0)</f>
        <v>59251</v>
      </c>
      <c r="AH11" s="83">
        <f>IFERROR(__xludf.DUMMYFUNCTION("IMPORTRANGE(""https://docs.google.com/spreadsheets/d/1BSX0y1fIKw9-3VTr627UzGVjwKe74kwBkuFnvlaueNo/edit#gid=1113655470"",""1-12每月!$C11"")"),9573.0)</f>
        <v>9573</v>
      </c>
      <c r="AI11" s="83">
        <f>IFERROR(__xludf.DUMMYFUNCTION("IMPORTRANGE(""https://docs.google.com/spreadsheets/d/1bQzlrSGiVqBrfQ6FKnw67vhBELFgthonryGzmQabVFQ/edit#gid=1015697053"",""1-12每月!$C11"")"),62616.0)</f>
        <v>62616</v>
      </c>
      <c r="AJ11" s="83">
        <f>IFERROR(__xludf.DUMMYFUNCTION("IMPORTRANGE(""https://docs.google.com/spreadsheets/d/1Pem-mgCz4CF6EUKNVxDQx16g9jie0F5YNDQ_cPnMHYs"",""1-12每月!$C11"")"),59702.0)</f>
        <v>59702</v>
      </c>
      <c r="AK11" s="83">
        <f>IFERROR(__xludf.DUMMYFUNCTION("IMPORTRANGE(""https://docs.google.com/spreadsheets/d/1ZoRtUl0m9T3TpY8H-9-ntNBO_zrYrgNKuAe_XfTeFnU"",""1-12每月!$C11"")"),231641.0)</f>
        <v>231641</v>
      </c>
      <c r="AL11" s="83">
        <f>IFERROR(__xludf.DUMMYFUNCTION("IMPORTRANGE(""https://docs.google.com/spreadsheets/d/1Y9Uv46r1nA3ixCGwTWZqhGQWDt4KVX4iXmhJgHL5CGQ"",""1-12每月!$C11"")"),192062.0)</f>
        <v>192062</v>
      </c>
      <c r="AM11" s="83">
        <f>IFERROR(__xludf.DUMMYFUNCTION("IMPORTRANGE(""https://docs.google.com/spreadsheets/d/1E3X732-CKfouAVQOwKyrePWwI1Bwg9NHD0VD42lyiu4/edit?gid=1513765949#gid=1513765949"",""1-12每月!$C11"")"),0.0)</f>
        <v>0</v>
      </c>
      <c r="AN11" s="115"/>
      <c r="AO11" s="115"/>
      <c r="AP11" s="115"/>
      <c r="AQ11" s="115"/>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IFERROR(__xludf.DUMMYFUNCTION("IMPORTRANGE(""https://docs.google.com/spreadsheets/d/1dffLfsI-BGVz-K0zdrsWfGaqrFfoLJAhq001merp6Rk/edit?usp=sharing"",""1-12每月!$B12"")"),52974.0)</f>
        <v>52974</v>
      </c>
      <c r="N12" s="83">
        <f>IFERROR(__xludf.DUMMYFUNCTION("IMPORTRANGE(""https://docs.google.com/spreadsheets/d/1SzxpZPUDnwxS8mSOLGEH5NbWU7ZW_VcRmIn7psOvuTs/edit#gid=1650312294?usp=sharing"",""1-12每月!$B12"")"),49173.0)</f>
        <v>49173</v>
      </c>
      <c r="O12" s="83">
        <f>IFERROR(__xludf.DUMMYFUNCTION("IMPORTRANGE(""https://docs.google.com/spreadsheets/d/1ta9i7cAkOPF0LapwmU_YEDA4IPQvKNuaYVMY8vIVPwI/edit#gid=1607741572?usp=sharing"",""1-12每月!$B12"")"),41918.0)</f>
        <v>41918</v>
      </c>
      <c r="P12" s="83">
        <f>IFERROR(__xludf.DUMMYFUNCTION("IMPORTRANGE(""https://docs.google.com/spreadsheets/d/1f4WWQfcNBonYqfzcaBhJlHzPwh34sx4U6naz-Aw2G4I/edit#gid=2097425894?usp=sharing"",""1-12每月!$C12"")"),45638.0)</f>
        <v>45638</v>
      </c>
      <c r="Q12" s="83">
        <f>IFERROR(__xludf.DUMMYFUNCTION("IMPORTRANGE(""https://docs.google.com/spreadsheets/d/1pCmmgCj7Y_SQPZLsiVd3yvND9oLyryVfBwNxC6OUwm8/edit#gid=170549058?usp=sharing"",""1-12每月!$C12"")"),39667.0)</f>
        <v>39667</v>
      </c>
      <c r="R12" s="83">
        <f>IFERROR(__xludf.DUMMYFUNCTION("IMPORTRANGE(""https://docs.google.com/spreadsheets/d/1hrRqxxacrLITR_JGMRVbhSRCIZIU8gAv0o_aOkHz68M/edit#gid=763155734?usp=sharing"",""1-12每月!$C12"")"),25298.0)</f>
        <v>25298</v>
      </c>
      <c r="S12" s="83">
        <f>IFERROR(__xludf.DUMMYFUNCTION("IMPORTRANGE(""https://docs.google.com/spreadsheets/d/1AKS3XWcgwNLFRbGU-lJ3UBHDQNdglvKwrv4_Bpp1IjU/edit#gid=73116376?usp=sharing"",""1-12每月!$C12"")"),27306.0)</f>
        <v>27306</v>
      </c>
      <c r="T12" s="83">
        <f>IFERROR(__xludf.DUMMYFUNCTION("IMPORTRANGE(""https://docs.google.com/spreadsheets/d/1wGGXGHkWT5JsjUDTy4FnHN_O9ae4MADbMykqIWVThNc/edit#gid=297806252?usp=sharing"",""1-12每月!$C12"")"),14743.0)</f>
        <v>14743</v>
      </c>
      <c r="U12" s="83">
        <f>IFERROR(__xludf.DUMMYFUNCTION("IMPORTRANGE(""https://docs.google.com/spreadsheets/d/1ShTgtQQDjMKpYx-TJ_lwdxnWSzJNUcNnzR3fJjoaZec/edit#gid=66107904?usp=sharing"",""1-12每月!$C12"")"),20478.0)</f>
        <v>20478</v>
      </c>
      <c r="V12" s="83">
        <f>IFERROR(__xludf.DUMMYFUNCTION("IMPORTRANGE(""https://docs.google.com/spreadsheets/d/1_eyuyKbXFCJd6fVFEKQwugwYCbRCmmWN_M7XR1dtOb8/edit#gid=951918895?usp=sharing"",""1-12每月!$C12"")"),7213.0)</f>
        <v>7213</v>
      </c>
      <c r="W12" s="83">
        <f>IFERROR(__xludf.DUMMYFUNCTION("IMPORTRANGE(""https://docs.google.com/spreadsheets/d/1yEpHI9_Y4w8sRmPP9C-mYK4NMfVuTJifGLMj4FMdqek/edit#gid=799087919?usp=sharing"",""1-12每月!$C12"")"),21798.0)</f>
        <v>21798</v>
      </c>
      <c r="X12" s="83">
        <f>IFERROR(__xludf.DUMMYFUNCTION("IMPORTRANGE(""https://docs.google.com/spreadsheets/d/1Vbyb9GlrY6jOwvoGyZFB96f7WXYjkT6gvTE37DPDXDI/edit#gid=9591526?usp=sharing"",""1-12每月!$C12"")"),14433.0)</f>
        <v>14433</v>
      </c>
      <c r="Y12" s="83">
        <f>IFERROR(__xludf.DUMMYFUNCTION("IMPORTRANGE(""https://docs.google.com/spreadsheets/d/1qeckoJwzWQAg8zQ80D-QJP4pnVYH6l2juaUyHtOu6y8/edit#gid=1905704096?usp=sharing"",""1-12每月!$C12"")"),17864.0)</f>
        <v>17864</v>
      </c>
      <c r="Z12" s="83">
        <f>IFERROR(__xludf.DUMMYFUNCTION("IMPORTRANGE(""https://docs.google.com/spreadsheets/d/1BcbIi7AD1VDpy_wMQ0YjCG-iuQy0_tkCVqr72a0Pwbg/edit#gid=1099513714?usp=sharing"",""1-12每月!$C12"")"),25745.0)</f>
        <v>25745</v>
      </c>
      <c r="AA12" s="83">
        <f>IFERROR(__xludf.DUMMYFUNCTION("IMPORTRANGE(""https://docs.google.com/spreadsheets/d/1cIFCQPaYiOmIt2O3vkEx5eto8sfRtx3JtAWJ1fv31HI/edit#gid=432689709?usp=sharing"",""1-12每月!$C12"")"),33937.0)</f>
        <v>33937</v>
      </c>
      <c r="AB12" s="83">
        <f>IFERROR(__xludf.DUMMYFUNCTION("IMPORTRANGE(""https://docs.google.com/spreadsheets/d/1C8ECYlbes2CJkHHGOAyOYVfrP7PdlGr8RMjK7KZd0_o/edit#gid=495469277?usp=sharing"",""1-12每月!$C12"")"),34777.0)</f>
        <v>34777</v>
      </c>
      <c r="AC12" s="83">
        <f>IFERROR(__xludf.DUMMYFUNCTION("IMPORTRANGE(""https://docs.google.com/spreadsheets/d/1ettcrhLPK6tkvHZxDTyU2bGIpGSi2ynG91ln0fqz9iE/edit#gid=1364213386?usp=sharing"",""1-12每月!$C12"")"),28784.0)</f>
        <v>28784</v>
      </c>
      <c r="AD12" s="83">
        <f>IFERROR(__xludf.DUMMYFUNCTION("IMPORTRANGE(""https://docs.google.com/spreadsheets/d/1xUhm-MtqzfUO8M5WEWVv9w2EFkv5_PHMOsAlA3CcCWU/edit#gid=1700470961?usp=sharing"",""1-12每月!$C12"")"),32083.0)</f>
        <v>32083</v>
      </c>
      <c r="AE12" s="83">
        <f>IFERROR(__xludf.DUMMYFUNCTION("IMPORTRANGE(""https://docs.google.com/spreadsheets/d/1DP8wl0QQLYSZ8R2aQ8wNmiAUXn7lVrqMsdTccpBmnQc/edit#gid=1145593933?usp=sharing"",""1-12每月!$C12"")"),46807.0)</f>
        <v>46807</v>
      </c>
      <c r="AF12" s="83">
        <f>IFERROR(__xludf.DUMMYFUNCTION("IMPORTRANGE(""https://docs.google.com/spreadsheets/d/17hbKAHrpKLEbG3r9s1Ay3fOGzvOBzSu3Bn_CD4JNLhY/edit#gid=756408948?usp=sharing"",""1-12每月!$C12"")"),51654.0)</f>
        <v>51654</v>
      </c>
      <c r="AG12" s="83">
        <f>IFERROR(__xludf.DUMMYFUNCTION("IMPORTRANGE(""https://docs.google.com/spreadsheets/d/1qeecSCKZ78ENQrsyUYpSNZqvo0-Y-uuGKFA1F06yLEM/edit#gid=874445072?usp=sharing"",""1-12每月!$C12"")"),105167.0)</f>
        <v>105167</v>
      </c>
      <c r="AH12" s="83">
        <f>IFERROR(__xludf.DUMMYFUNCTION("IMPORTRANGE(""https://docs.google.com/spreadsheets/d/1BSX0y1fIKw9-3VTr627UzGVjwKe74kwBkuFnvlaueNo/edit#gid=1113655470"",""1-12每月!$C12"")"),26072.0)</f>
        <v>26072</v>
      </c>
      <c r="AI12" s="83">
        <f>IFERROR(__xludf.DUMMYFUNCTION("IMPORTRANGE(""https://docs.google.com/spreadsheets/d/1bQzlrSGiVqBrfQ6FKnw67vhBELFgthonryGzmQabVFQ/edit#gid=1015697053"",""1-12每月!$C12"")"),65953.0)</f>
        <v>65953</v>
      </c>
      <c r="AJ12" s="83">
        <f>IFERROR(__xludf.DUMMYFUNCTION("IMPORTRANGE(""https://docs.google.com/spreadsheets/d/1Pem-mgCz4CF6EUKNVxDQx16g9jie0F5YNDQ_cPnMHYs"",""1-12每月!$C12"")"),54215.0)</f>
        <v>54215</v>
      </c>
      <c r="AK12" s="83">
        <f>IFERROR(__xludf.DUMMYFUNCTION("IMPORTRANGE(""https://docs.google.com/spreadsheets/d/1ZoRtUl0m9T3TpY8H-9-ntNBO_zrYrgNKuAe_XfTeFnU"",""1-12每月!$C12"")"),246340.0)</f>
        <v>246340</v>
      </c>
      <c r="AL12" s="83">
        <f>IFERROR(__xludf.DUMMYFUNCTION("IMPORTRANGE(""https://docs.google.com/spreadsheets/d/1Y9Uv46r1nA3ixCGwTWZqhGQWDt4KVX4iXmhJgHL5CGQ"",""1-12每月!$C12"")"),242779.0)</f>
        <v>242779</v>
      </c>
      <c r="AM12" s="83">
        <f>IFERROR(__xludf.DUMMYFUNCTION("IMPORTRANGE(""https://docs.google.com/spreadsheets/d/1E3X732-CKfouAVQOwKyrePWwI1Bwg9NHD0VD42lyiu4/edit?gid=1513765949#gid=1513765949"",""1-12每月!$C12"")"),0.0)</f>
        <v>0</v>
      </c>
      <c r="AN12" s="115"/>
      <c r="AO12" s="115"/>
      <c r="AP12" s="115"/>
      <c r="AQ12" s="115"/>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IFERROR(__xludf.DUMMYFUNCTION("IMPORTRANGE(""https://docs.google.com/spreadsheets/d/1dffLfsI-BGVz-K0zdrsWfGaqrFfoLJAhq001merp6Rk/edit?usp=sharing"",""1-12每月!$B13"")"),47502.0)</f>
        <v>47502</v>
      </c>
      <c r="N13" s="83">
        <f>IFERROR(__xludf.DUMMYFUNCTION("IMPORTRANGE(""https://docs.google.com/spreadsheets/d/1SzxpZPUDnwxS8mSOLGEH5NbWU7ZW_VcRmIn7psOvuTs/edit#gid=1650312294?usp=sharing"",""1-12每月!$B13"")"),18108.0)</f>
        <v>18108</v>
      </c>
      <c r="O13" s="83">
        <f>IFERROR(__xludf.DUMMYFUNCTION("IMPORTRANGE(""https://docs.google.com/spreadsheets/d/1ta9i7cAkOPF0LapwmU_YEDA4IPQvKNuaYVMY8vIVPwI/edit#gid=1607741572?usp=sharing"",""1-12每月!$B13"")"),31759.0)</f>
        <v>31759</v>
      </c>
      <c r="P13" s="83">
        <f>IFERROR(__xludf.DUMMYFUNCTION("IMPORTRANGE(""https://docs.google.com/spreadsheets/d/1f4WWQfcNBonYqfzcaBhJlHzPwh34sx4U6naz-Aw2G4I/edit#gid=2097425894?usp=sharing"",""1-12每月!$C13"")"),32055.0)</f>
        <v>32055</v>
      </c>
      <c r="Q13" s="83">
        <f>IFERROR(__xludf.DUMMYFUNCTION("IMPORTRANGE(""https://docs.google.com/spreadsheets/d/1pCmmgCj7Y_SQPZLsiVd3yvND9oLyryVfBwNxC6OUwm8/edit#gid=170549058?usp=sharing"",""1-12每月!$C13"")"),26220.0)</f>
        <v>26220</v>
      </c>
      <c r="R13" s="83">
        <f>IFERROR(__xludf.DUMMYFUNCTION("IMPORTRANGE(""https://docs.google.com/spreadsheets/d/1hrRqxxacrLITR_JGMRVbhSRCIZIU8gAv0o_aOkHz68M/edit#gid=763155734?usp=sharing"",""1-12每月!$C13"")"),22576.0)</f>
        <v>22576</v>
      </c>
      <c r="S13" s="83">
        <f>IFERROR(__xludf.DUMMYFUNCTION("IMPORTRANGE(""https://docs.google.com/spreadsheets/d/1AKS3XWcgwNLFRbGU-lJ3UBHDQNdglvKwrv4_Bpp1IjU/edit#gid=73116376?usp=sharing"",""1-12每月!$C13"")"),21025.0)</f>
        <v>21025</v>
      </c>
      <c r="T13" s="83">
        <f>IFERROR(__xludf.DUMMYFUNCTION("IMPORTRANGE(""https://docs.google.com/spreadsheets/d/1wGGXGHkWT5JsjUDTy4FnHN_O9ae4MADbMykqIWVThNc/edit#gid=297806252?usp=sharing"",""1-12每月!$C13"")"),18042.0)</f>
        <v>18042</v>
      </c>
      <c r="U13" s="83">
        <f>IFERROR(__xludf.DUMMYFUNCTION("IMPORTRANGE(""https://docs.google.com/spreadsheets/d/1ShTgtQQDjMKpYx-TJ_lwdxnWSzJNUcNnzR3fJjoaZec/edit#gid=66107904?usp=sharing"",""1-12每月!$C13"")"),11612.0)</f>
        <v>11612</v>
      </c>
      <c r="V13" s="83">
        <f>IFERROR(__xludf.DUMMYFUNCTION("IMPORTRANGE(""https://docs.google.com/spreadsheets/d/1_eyuyKbXFCJd6fVFEKQwugwYCbRCmmWN_M7XR1dtOb8/edit#gid=951918895?usp=sharing"",""1-12每月!$C13"")"),6207.0)</f>
        <v>6207</v>
      </c>
      <c r="W13" s="83">
        <f>IFERROR(__xludf.DUMMYFUNCTION("IMPORTRANGE(""https://docs.google.com/spreadsheets/d/1yEpHI9_Y4w8sRmPP9C-mYK4NMfVuTJifGLMj4FMdqek/edit#gid=799087919?usp=sharing"",""1-12每月!$C13"")"),11675.0)</f>
        <v>11675</v>
      </c>
      <c r="X13" s="83">
        <f>IFERROR(__xludf.DUMMYFUNCTION("IMPORTRANGE(""https://docs.google.com/spreadsheets/d/1Vbyb9GlrY6jOwvoGyZFB96f7WXYjkT6gvTE37DPDXDI/edit#gid=9591526?usp=sharing"",""1-12每月!$C13"")"),19416.0)</f>
        <v>19416</v>
      </c>
      <c r="Y13" s="83">
        <f>IFERROR(__xludf.DUMMYFUNCTION("IMPORTRANGE(""https://docs.google.com/spreadsheets/d/1qeckoJwzWQAg8zQ80D-QJP4pnVYH6l2juaUyHtOu6y8/edit#gid=1905704096?usp=sharing"",""1-12每月!$C13"")"),15046.0)</f>
        <v>15046</v>
      </c>
      <c r="Z13" s="83">
        <f>IFERROR(__xludf.DUMMYFUNCTION("IMPORTRANGE(""https://docs.google.com/spreadsheets/d/1BcbIi7AD1VDpy_wMQ0YjCG-iuQy0_tkCVqr72a0Pwbg/edit#gid=1099513714?usp=sharing"",""1-12每月!$C13"")"),14412.0)</f>
        <v>14412</v>
      </c>
      <c r="AA13" s="83">
        <f>IFERROR(__xludf.DUMMYFUNCTION("IMPORTRANGE(""https://docs.google.com/spreadsheets/d/1cIFCQPaYiOmIt2O3vkEx5eto8sfRtx3JtAWJ1fv31HI/edit#gid=432689709?usp=sharing"",""1-12每月!$C13"")"),20482.0)</f>
        <v>20482</v>
      </c>
      <c r="AB13" s="83">
        <f>IFERROR(__xludf.DUMMYFUNCTION("IMPORTRANGE(""https://docs.google.com/spreadsheets/d/1C8ECYlbes2CJkHHGOAyOYVfrP7PdlGr8RMjK7KZd0_o/edit#gid=495469277?usp=sharing"",""1-12每月!$C13"")"),28253.0)</f>
        <v>28253</v>
      </c>
      <c r="AC13" s="83">
        <f>IFERROR(__xludf.DUMMYFUNCTION("IMPORTRANGE(""https://docs.google.com/spreadsheets/d/1ettcrhLPK6tkvHZxDTyU2bGIpGSi2ynG91ln0fqz9iE/edit#gid=1364213386?usp=sharing"",""1-12每月!$C13"")"),14617.0)</f>
        <v>14617</v>
      </c>
      <c r="AD13" s="83">
        <f>IFERROR(__xludf.DUMMYFUNCTION("IMPORTRANGE(""https://docs.google.com/spreadsheets/d/1xUhm-MtqzfUO8M5WEWVv9w2EFkv5_PHMOsAlA3CcCWU/edit#gid=1700470961?usp=sharing"",""1-12每月!$C13"")"),15826.0)</f>
        <v>15826</v>
      </c>
      <c r="AE13" s="83">
        <f>IFERROR(__xludf.DUMMYFUNCTION("IMPORTRANGE(""https://docs.google.com/spreadsheets/d/1DP8wl0QQLYSZ8R2aQ8wNmiAUXn7lVrqMsdTccpBmnQc/edit#gid=1145593933?usp=sharing"",""1-12每月!$C13"")"),35571.0)</f>
        <v>35571</v>
      </c>
      <c r="AF13" s="83">
        <f>IFERROR(__xludf.DUMMYFUNCTION("IMPORTRANGE(""https://docs.google.com/spreadsheets/d/17hbKAHrpKLEbG3r9s1Ay3fOGzvOBzSu3Bn_CD4JNLhY/edit#gid=756408948?usp=sharing"",""1-12每月!$C13"")"),47709.0)</f>
        <v>47709</v>
      </c>
      <c r="AG13" s="83">
        <f>IFERROR(__xludf.DUMMYFUNCTION("IMPORTRANGE(""https://docs.google.com/spreadsheets/d/1qeecSCKZ78ENQrsyUYpSNZqvo0-Y-uuGKFA1F06yLEM/edit#gid=874445072?usp=sharing"",""1-12每月!$C13"")"),89536.0)</f>
        <v>89536</v>
      </c>
      <c r="AH13" s="83">
        <f>IFERROR(__xludf.DUMMYFUNCTION("IMPORTRANGE(""https://docs.google.com/spreadsheets/d/1BSX0y1fIKw9-3VTr627UzGVjwKe74kwBkuFnvlaueNo/edit#gid=1113655470"",""1-12每月!$C13"")"),38941.0)</f>
        <v>38941</v>
      </c>
      <c r="AI13" s="83">
        <f>IFERROR(__xludf.DUMMYFUNCTION("IMPORTRANGE(""https://docs.google.com/spreadsheets/d/1bQzlrSGiVqBrfQ6FKnw67vhBELFgthonryGzmQabVFQ/edit#gid=1015697053"",""1-12每月!$C13"")"),48044.0)</f>
        <v>48044</v>
      </c>
      <c r="AJ13" s="83">
        <f>IFERROR(__xludf.DUMMYFUNCTION("IMPORTRANGE(""https://docs.google.com/spreadsheets/d/1Pem-mgCz4CF6EUKNVxDQx16g9jie0F5YNDQ_cPnMHYs"",""1-12每月!$C13"")"),32126.0)</f>
        <v>32126</v>
      </c>
      <c r="AK13" s="83">
        <f>IFERROR(__xludf.DUMMYFUNCTION("IMPORTRANGE(""https://docs.google.com/spreadsheets/d/1ZoRtUl0m9T3TpY8H-9-ntNBO_zrYrgNKuAe_XfTeFnU"",""1-12每月!$C13"")"),185416.0)</f>
        <v>185416</v>
      </c>
      <c r="AL13" s="83">
        <f>IFERROR(__xludf.DUMMYFUNCTION("IMPORTRANGE(""https://docs.google.com/spreadsheets/d/1Y9Uv46r1nA3ixCGwTWZqhGQWDt4KVX4iXmhJgHL5CGQ"",""1-12每月!$C13"")"),174438.0)</f>
        <v>174438</v>
      </c>
      <c r="AM13" s="83">
        <f>IFERROR(__xludf.DUMMYFUNCTION("IMPORTRANGE(""https://docs.google.com/spreadsheets/d/1E3X732-CKfouAVQOwKyrePWwI1Bwg9NHD0VD42lyiu4/edit?gid=1513765949#gid=1513765949"",""1-12每月!$C13"")"),0.0)</f>
        <v>0</v>
      </c>
      <c r="AN13" s="115"/>
      <c r="AO13" s="115"/>
      <c r="AP13" s="115"/>
      <c r="AQ13" s="115"/>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IFERROR(__xludf.DUMMYFUNCTION("IMPORTRANGE(""https://docs.google.com/spreadsheets/d/1dffLfsI-BGVz-K0zdrsWfGaqrFfoLJAhq001merp6Rk/edit?usp=sharing"",""1-12每月!$B14"")"),51492.0)</f>
        <v>51492</v>
      </c>
      <c r="N14" s="83">
        <f>IFERROR(__xludf.DUMMYFUNCTION("IMPORTRANGE(""https://docs.google.com/spreadsheets/d/1SzxpZPUDnwxS8mSOLGEH5NbWU7ZW_VcRmIn7psOvuTs/edit#gid=1650312294?usp=sharing"",""1-12每月!$B14"")"),42054.0)</f>
        <v>42054</v>
      </c>
      <c r="O14" s="83">
        <f>IFERROR(__xludf.DUMMYFUNCTION("IMPORTRANGE(""https://docs.google.com/spreadsheets/d/1ta9i7cAkOPF0LapwmU_YEDA4IPQvKNuaYVMY8vIVPwI/edit#gid=1607741572?usp=sharing"",""1-12每月!$B14"")"),35327.0)</f>
        <v>35327</v>
      </c>
      <c r="P14" s="83">
        <f>IFERROR(__xludf.DUMMYFUNCTION("IMPORTRANGE(""https://docs.google.com/spreadsheets/d/1f4WWQfcNBonYqfzcaBhJlHzPwh34sx4U6naz-Aw2G4I/edit#gid=2097425894?usp=sharing"",""1-12每月!$C14"")"),37030.0)</f>
        <v>37030</v>
      </c>
      <c r="Q14" s="83">
        <f>IFERROR(__xludf.DUMMYFUNCTION("IMPORTRANGE(""https://docs.google.com/spreadsheets/d/1pCmmgCj7Y_SQPZLsiVd3yvND9oLyryVfBwNxC6OUwm8/edit#gid=170549058?usp=sharing"",""1-12每月!$C14"")"),35661.0)</f>
        <v>35661</v>
      </c>
      <c r="R14" s="83">
        <f>IFERROR(__xludf.DUMMYFUNCTION("IMPORTRANGE(""https://docs.google.com/spreadsheets/d/1hrRqxxacrLITR_JGMRVbhSRCIZIU8gAv0o_aOkHz68M/edit#gid=763155734?usp=sharing"",""1-12每月!$C14"")"),36773.0)</f>
        <v>36773</v>
      </c>
      <c r="S14" s="83">
        <f>IFERROR(__xludf.DUMMYFUNCTION("IMPORTRANGE(""https://docs.google.com/spreadsheets/d/1AKS3XWcgwNLFRbGU-lJ3UBHDQNdglvKwrv4_Bpp1IjU/edit#gid=73116376?usp=sharing"",""1-12每月!$C14"")"),28002.0)</f>
        <v>28002</v>
      </c>
      <c r="T14" s="83">
        <f>IFERROR(__xludf.DUMMYFUNCTION("IMPORTRANGE(""https://docs.google.com/spreadsheets/d/1wGGXGHkWT5JsjUDTy4FnHN_O9ae4MADbMykqIWVThNc/edit#gid=297806252?usp=sharing"",""1-12每月!$C14"")"),19848.0)</f>
        <v>19848</v>
      </c>
      <c r="U14" s="83">
        <f>IFERROR(__xludf.DUMMYFUNCTION("IMPORTRANGE(""https://docs.google.com/spreadsheets/d/1ShTgtQQDjMKpYx-TJ_lwdxnWSzJNUcNnzR3fJjoaZec/edit#gid=66107904?usp=sharing"",""1-12每月!$C14"")"),21249.0)</f>
        <v>21249</v>
      </c>
      <c r="V14" s="83">
        <f>IFERROR(__xludf.DUMMYFUNCTION("IMPORTRANGE(""https://docs.google.com/spreadsheets/d/1_eyuyKbXFCJd6fVFEKQwugwYCbRCmmWN_M7XR1dtOb8/edit#gid=951918895?usp=sharing"",""1-12每月!$C14"")"),8632.0)</f>
        <v>8632</v>
      </c>
      <c r="W14" s="83">
        <f>IFERROR(__xludf.DUMMYFUNCTION("IMPORTRANGE(""https://docs.google.com/spreadsheets/d/1yEpHI9_Y4w8sRmPP9C-mYK4NMfVuTJifGLMj4FMdqek/edit#gid=799087919?usp=sharing"",""1-12每月!$C14"")"),15134.0)</f>
        <v>15134</v>
      </c>
      <c r="X14" s="83">
        <f>IFERROR(__xludf.DUMMYFUNCTION("IMPORTRANGE(""https://docs.google.com/spreadsheets/d/1Vbyb9GlrY6jOwvoGyZFB96f7WXYjkT6gvTE37DPDXDI/edit#gid=9591526?usp=sharing"",""1-12每月!$C14"")"),22670.0)</f>
        <v>22670</v>
      </c>
      <c r="Y14" s="83">
        <f>IFERROR(__xludf.DUMMYFUNCTION("IMPORTRANGE(""https://docs.google.com/spreadsheets/d/1qeckoJwzWQAg8zQ80D-QJP4pnVYH6l2juaUyHtOu6y8/edit#gid=1905704096?usp=sharing"",""1-12每月!$C14"")"),20017.0)</f>
        <v>20017</v>
      </c>
      <c r="Z14" s="83">
        <f>IFERROR(__xludf.DUMMYFUNCTION("IMPORTRANGE(""https://docs.google.com/spreadsheets/d/1BcbIi7AD1VDpy_wMQ0YjCG-iuQy0_tkCVqr72a0Pwbg/edit#gid=1099513714?usp=sharing"",""1-12每月!$C14"")"),20851.0)</f>
        <v>20851</v>
      </c>
      <c r="AA14" s="83">
        <f>IFERROR(__xludf.DUMMYFUNCTION("IMPORTRANGE(""https://docs.google.com/spreadsheets/d/1cIFCQPaYiOmIt2O3vkEx5eto8sfRtx3JtAWJ1fv31HI/edit#gid=432689709?usp=sharing"",""1-12每月!$C14"")"),25232.0)</f>
        <v>25232</v>
      </c>
      <c r="AB14" s="83">
        <f>IFERROR(__xludf.DUMMYFUNCTION("IMPORTRANGE(""https://docs.google.com/spreadsheets/d/1C8ECYlbes2CJkHHGOAyOYVfrP7PdlGr8RMjK7KZd0_o/edit#gid=495469277?usp=sharing"",""1-12每月!$C14"")"),35859.0)</f>
        <v>35859</v>
      </c>
      <c r="AC14" s="83">
        <f>IFERROR(__xludf.DUMMYFUNCTION("IMPORTRANGE(""https://docs.google.com/spreadsheets/d/1ettcrhLPK6tkvHZxDTyU2bGIpGSi2ynG91ln0fqz9iE/edit#gid=1364213386?usp=sharing"",""1-12每月!$C14"")"),16520.0)</f>
        <v>16520</v>
      </c>
      <c r="AD14" s="83">
        <f>IFERROR(__xludf.DUMMYFUNCTION("IMPORTRANGE(""https://docs.google.com/spreadsheets/d/1xUhm-MtqzfUO8M5WEWVv9w2EFkv5_PHMOsAlA3CcCWU/edit#gid=1700470961?usp=sharing"",""1-12每月!$C14"")"),50995.0)</f>
        <v>50995</v>
      </c>
      <c r="AE14" s="83">
        <f>IFERROR(__xludf.DUMMYFUNCTION("IMPORTRANGE(""https://docs.google.com/spreadsheets/d/1DP8wl0QQLYSZ8R2aQ8wNmiAUXn7lVrqMsdTccpBmnQc/edit#gid=1145593933?usp=sharing"",""1-12每月!$C14"")"),39609.0)</f>
        <v>39609</v>
      </c>
      <c r="AF14" s="83">
        <f>IFERROR(__xludf.DUMMYFUNCTION("IMPORTRANGE(""https://docs.google.com/spreadsheets/d/17hbKAHrpKLEbG3r9s1Ay3fOGzvOBzSu3Bn_CD4JNLhY/edit#gid=756408948?usp=sharing"",""1-12每月!$C14"")"),76751.0)</f>
        <v>76751</v>
      </c>
      <c r="AG14" s="83">
        <f>IFERROR(__xludf.DUMMYFUNCTION("IMPORTRANGE(""https://docs.google.com/spreadsheets/d/1qeecSCKZ78ENQrsyUYpSNZqvo0-Y-uuGKFA1F06yLEM/edit#gid=874445072?usp=sharing"",""1-12每月!$C14"")"),127121.0)</f>
        <v>127121</v>
      </c>
      <c r="AH14" s="83">
        <f>IFERROR(__xludf.DUMMYFUNCTION("IMPORTRANGE(""https://docs.google.com/spreadsheets/d/1BSX0y1fIKw9-3VTr627UzGVjwKe74kwBkuFnvlaueNo/edit#gid=1113655470"",""1-12每月!$C14"")"),45814.0)</f>
        <v>45814</v>
      </c>
      <c r="AI14" s="83">
        <f>IFERROR(__xludf.DUMMYFUNCTION("IMPORTRANGE(""https://docs.google.com/spreadsheets/d/1bQzlrSGiVqBrfQ6FKnw67vhBELFgthonryGzmQabVFQ/edit#gid=1015697053"",""1-12每月!$C14"")"),42303.0)</f>
        <v>42303</v>
      </c>
      <c r="AJ14" s="83">
        <f>IFERROR(__xludf.DUMMYFUNCTION("IMPORTRANGE(""https://docs.google.com/spreadsheets/d/1Pem-mgCz4CF6EUKNVxDQx16g9jie0F5YNDQ_cPnMHYs"",""1-12每月!$C14"")"),50867.0)</f>
        <v>50867</v>
      </c>
      <c r="AK14" s="83">
        <f>IFERROR(__xludf.DUMMYFUNCTION("IMPORTRANGE(""https://docs.google.com/spreadsheets/d/1ZoRtUl0m9T3TpY8H-9-ntNBO_zrYrgNKuAe_XfTeFnU"",""1-12每月!$C14"")"),170738.0)</f>
        <v>170738</v>
      </c>
      <c r="AL14" s="83">
        <f>IFERROR(__xludf.DUMMYFUNCTION("IMPORTRANGE(""https://docs.google.com/spreadsheets/d/1Y9Uv46r1nA3ixCGwTWZqhGQWDt4KVX4iXmhJgHL5CGQ"",""1-12每月!$C14"")"),205404.0)</f>
        <v>205404</v>
      </c>
      <c r="AM14" s="83">
        <f>IFERROR(__xludf.DUMMYFUNCTION("IMPORTRANGE(""https://docs.google.com/spreadsheets/d/1E3X732-CKfouAVQOwKyrePWwI1Bwg9NHD0VD42lyiu4/edit?gid=1513765949#gid=1513765949"",""1-12每月!$C14"")"),0.0)</f>
        <v>0</v>
      </c>
      <c r="AN14" s="115"/>
      <c r="AO14" s="115"/>
      <c r="AP14" s="115"/>
      <c r="AQ14" s="115"/>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IFERROR(__xludf.DUMMYFUNCTION("IMPORTRANGE(""https://docs.google.com/spreadsheets/d/1dffLfsI-BGVz-K0zdrsWfGaqrFfoLJAhq001merp6Rk/edit?usp=sharing"",""1-12每月!$B15"")"),38768.0)</f>
        <v>38768</v>
      </c>
      <c r="N15" s="83">
        <f>IFERROR(__xludf.DUMMYFUNCTION("IMPORTRANGE(""https://docs.google.com/spreadsheets/d/1SzxpZPUDnwxS8mSOLGEH5NbWU7ZW_VcRmIn7psOvuTs/edit#gid=1650312294?usp=sharing"",""1-12每月!$B15"")"),37583.0)</f>
        <v>37583</v>
      </c>
      <c r="O15" s="83">
        <f>IFERROR(__xludf.DUMMYFUNCTION("IMPORTRANGE(""https://docs.google.com/spreadsheets/d/1ta9i7cAkOPF0LapwmU_YEDA4IPQvKNuaYVMY8vIVPwI/edit#gid=1607741572?usp=sharing"",""1-12每月!$B15"")"),32022.0)</f>
        <v>32022</v>
      </c>
      <c r="P15" s="83">
        <f>IFERROR(__xludf.DUMMYFUNCTION("IMPORTRANGE(""https://docs.google.com/spreadsheets/d/1f4WWQfcNBonYqfzcaBhJlHzPwh34sx4U6naz-Aw2G4I/edit#gid=2097425894?usp=sharing"",""1-12每月!$C15"")"),32022.0)</f>
        <v>32022</v>
      </c>
      <c r="Q15" s="83">
        <f>IFERROR(__xludf.DUMMYFUNCTION("IMPORTRANGE(""https://docs.google.com/spreadsheets/d/1pCmmgCj7Y_SQPZLsiVd3yvND9oLyryVfBwNxC6OUwm8/edit#gid=170549058?usp=sharing"",""1-12每月!$C15"")"),33432.0)</f>
        <v>33432</v>
      </c>
      <c r="R15" s="83">
        <f>IFERROR(__xludf.DUMMYFUNCTION("IMPORTRANGE(""https://docs.google.com/spreadsheets/d/1hrRqxxacrLITR_JGMRVbhSRCIZIU8gAv0o_aOkHz68M/edit#gid=763155734?usp=sharing"",""1-12每月!$C15"")"),27968.0)</f>
        <v>27968</v>
      </c>
      <c r="S15" s="83">
        <f>IFERROR(__xludf.DUMMYFUNCTION("IMPORTRANGE(""https://docs.google.com/spreadsheets/d/1AKS3XWcgwNLFRbGU-lJ3UBHDQNdglvKwrv4_Bpp1IjU/edit#gid=73116376?usp=sharing"",""1-12每月!$C15"")"),23781.0)</f>
        <v>23781</v>
      </c>
      <c r="T15" s="83">
        <f>IFERROR(__xludf.DUMMYFUNCTION("IMPORTRANGE(""https://docs.google.com/spreadsheets/d/1wGGXGHkWT5JsjUDTy4FnHN_O9ae4MADbMykqIWVThNc/edit#gid=297806252?usp=sharing"",""1-12每月!$C15"")"),17278.0)</f>
        <v>17278</v>
      </c>
      <c r="U15" s="83">
        <f>IFERROR(__xludf.DUMMYFUNCTION("IMPORTRANGE(""https://docs.google.com/spreadsheets/d/1ShTgtQQDjMKpYx-TJ_lwdxnWSzJNUcNnzR3fJjoaZec/edit#gid=66107904?usp=sharing"",""1-12每月!$C15"")"),18845.0)</f>
        <v>18845</v>
      </c>
      <c r="V15" s="83">
        <f>IFERROR(__xludf.DUMMYFUNCTION("IMPORTRANGE(""https://docs.google.com/spreadsheets/d/1_eyuyKbXFCJd6fVFEKQwugwYCbRCmmWN_M7XR1dtOb8/edit#gid=951918895?usp=sharing"",""1-12每月!$C15"")"),12031.0)</f>
        <v>12031</v>
      </c>
      <c r="W15" s="83">
        <f>IFERROR(__xludf.DUMMYFUNCTION("IMPORTRANGE(""https://docs.google.com/spreadsheets/d/1yEpHI9_Y4w8sRmPP9C-mYK4NMfVuTJifGLMj4FMdqek/edit#gid=799087919?usp=sharing"",""1-12每月!$C15"")"),13119.0)</f>
        <v>13119</v>
      </c>
      <c r="X15" s="83">
        <f>IFERROR(__xludf.DUMMYFUNCTION("IMPORTRANGE(""https://docs.google.com/spreadsheets/d/1Vbyb9GlrY6jOwvoGyZFB96f7WXYjkT6gvTE37DPDXDI/edit#gid=9591526?usp=sharing"",""1-12每月!$C15"")"),14640.0)</f>
        <v>14640</v>
      </c>
      <c r="Y15" s="83">
        <f>IFERROR(__xludf.DUMMYFUNCTION("IMPORTRANGE(""https://docs.google.com/spreadsheets/d/1qeckoJwzWQAg8zQ80D-QJP4pnVYH6l2juaUyHtOu6y8/edit#gid=1905704096?usp=sharing"",""1-12每月!$C15"")"),16933.0)</f>
        <v>16933</v>
      </c>
      <c r="Z15" s="83">
        <f>IFERROR(__xludf.DUMMYFUNCTION("IMPORTRANGE(""https://docs.google.com/spreadsheets/d/1BcbIi7AD1VDpy_wMQ0YjCG-iuQy0_tkCVqr72a0Pwbg/edit#gid=1099513714?usp=sharing"",""1-12每月!$C15"")"),18252.0)</f>
        <v>18252</v>
      </c>
      <c r="AA15" s="83">
        <f>IFERROR(__xludf.DUMMYFUNCTION("IMPORTRANGE(""https://docs.google.com/spreadsheets/d/1cIFCQPaYiOmIt2O3vkEx5eto8sfRtx3JtAWJ1fv31HI/edit#gid=432689709?usp=sharing"",""1-12每月!$C15"")"),20523.0)</f>
        <v>20523</v>
      </c>
      <c r="AB15" s="83">
        <f>IFERROR(__xludf.DUMMYFUNCTION("IMPORTRANGE(""https://docs.google.com/spreadsheets/d/1C8ECYlbes2CJkHHGOAyOYVfrP7PdlGr8RMjK7KZd0_o/edit#gid=495469277?usp=sharing"",""1-12每月!$C15"")"),29986.0)</f>
        <v>29986</v>
      </c>
      <c r="AC15" s="83">
        <f>IFERROR(__xludf.DUMMYFUNCTION("IMPORTRANGE(""https://docs.google.com/spreadsheets/d/1ettcrhLPK6tkvHZxDTyU2bGIpGSi2ynG91ln0fqz9iE/edit#gid=1364213386?usp=sharing"",""1-12每月!$C15"")"),13681.0)</f>
        <v>13681</v>
      </c>
      <c r="AD15" s="83">
        <f>IFERROR(__xludf.DUMMYFUNCTION("IMPORTRANGE(""https://docs.google.com/spreadsheets/d/1xUhm-MtqzfUO8M5WEWVv9w2EFkv5_PHMOsAlA3CcCWU/edit#gid=1700470961?usp=sharing"",""1-12每月!$C15"")"),49625.0)</f>
        <v>49625</v>
      </c>
      <c r="AE15" s="83">
        <f>IFERROR(__xludf.DUMMYFUNCTION("IMPORTRANGE(""https://docs.google.com/spreadsheets/d/1DP8wl0QQLYSZ8R2aQ8wNmiAUXn7lVrqMsdTccpBmnQc/edit#gid=1145593933?usp=sharing"",""1-12每月!$C15"")"),39572.0)</f>
        <v>39572</v>
      </c>
      <c r="AF15" s="83">
        <f>IFERROR(__xludf.DUMMYFUNCTION("IMPORTRANGE(""https://docs.google.com/spreadsheets/d/17hbKAHrpKLEbG3r9s1Ay3fOGzvOBzSu3Bn_CD4JNLhY/edit#gid=756408948?usp=sharing"",""1-12每月!$C15"")"),40976.53)</f>
        <v>40976.53</v>
      </c>
      <c r="AG15" s="83">
        <f>IFERROR(__xludf.DUMMYFUNCTION("IMPORTRANGE(""https://docs.google.com/spreadsheets/d/1qeecSCKZ78ENQrsyUYpSNZqvo0-Y-uuGKFA1F06yLEM/edit#gid=874445072?usp=sharing"",""1-12每月!$C15"")"),73314.0)</f>
        <v>73314</v>
      </c>
      <c r="AH15" s="83">
        <f>IFERROR(__xludf.DUMMYFUNCTION("IMPORTRANGE(""https://docs.google.com/spreadsheets/d/1BSX0y1fIKw9-3VTr627UzGVjwKe74kwBkuFnvlaueNo/edit#gid=1113655470"",""1-12每月!$C15"")"),71975.0)</f>
        <v>71975</v>
      </c>
      <c r="AI15" s="83">
        <f>IFERROR(__xludf.DUMMYFUNCTION("IMPORTRANGE(""https://docs.google.com/spreadsheets/d/1bQzlrSGiVqBrfQ6FKnw67vhBELFgthonryGzmQabVFQ/edit#gid=1015697053"",""1-12每月!$C15"")"),57321.0)</f>
        <v>57321</v>
      </c>
      <c r="AJ15" s="83">
        <f>IFERROR(__xludf.DUMMYFUNCTION("IMPORTRANGE(""https://docs.google.com/spreadsheets/d/1Pem-mgCz4CF6EUKNVxDQx16g9jie0F5YNDQ_cPnMHYs"",""1-12每月!$C15"")"),41079.0)</f>
        <v>41079</v>
      </c>
      <c r="AK15" s="83">
        <f>IFERROR(__xludf.DUMMYFUNCTION("IMPORTRANGE(""https://docs.google.com/spreadsheets/d/1ZoRtUl0m9T3TpY8H-9-ntNBO_zrYrgNKuAe_XfTeFnU"",""1-12每月!$C15"")"),188314.0)</f>
        <v>188314</v>
      </c>
      <c r="AL15" s="83">
        <f>IFERROR(__xludf.DUMMYFUNCTION("IMPORTRANGE(""https://docs.google.com/spreadsheets/d/1Y9Uv46r1nA3ixCGwTWZqhGQWDt4KVX4iXmhJgHL5CGQ"",""1-12每月!$C15"")"),172167.0)</f>
        <v>172167</v>
      </c>
      <c r="AM15" s="83">
        <f>IFERROR(__xludf.DUMMYFUNCTION("IMPORTRANGE(""https://docs.google.com/spreadsheets/d/1E3X732-CKfouAVQOwKyrePWwI1Bwg9NHD0VD42lyiu4/edit?gid=1513765949#gid=1513765949"",""1-12每月!$C15"")"),0.0)</f>
        <v>0</v>
      </c>
      <c r="AN15" s="115"/>
      <c r="AO15" s="115"/>
      <c r="AP15" s="115"/>
      <c r="AQ15" s="115"/>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IFERROR(__xludf.DUMMYFUNCTION("IMPORTRANGE(""https://docs.google.com/spreadsheets/d/1dffLfsI-BGVz-K0zdrsWfGaqrFfoLJAhq001merp6Rk/edit?usp=sharing"",""1-12每月!$B16"")"),62352.0)</f>
        <v>62352</v>
      </c>
      <c r="N16" s="83">
        <f>IFERROR(__xludf.DUMMYFUNCTION("IMPORTRANGE(""https://docs.google.com/spreadsheets/d/1SzxpZPUDnwxS8mSOLGEH5NbWU7ZW_VcRmIn7psOvuTs/edit#gid=1650312294?usp=sharing"",""1-12每月!$B16"")"),34847.0)</f>
        <v>34847</v>
      </c>
      <c r="O16" s="83">
        <f>IFERROR(__xludf.DUMMYFUNCTION("IMPORTRANGE(""https://docs.google.com/spreadsheets/d/1ta9i7cAkOPF0LapwmU_YEDA4IPQvKNuaYVMY8vIVPwI/edit#gid=1607741572?usp=sharing"",""1-12每月!$B16"")"),30955.0)</f>
        <v>30955</v>
      </c>
      <c r="P16" s="83">
        <f>IFERROR(__xludf.DUMMYFUNCTION("IMPORTRANGE(""https://docs.google.com/spreadsheets/d/1f4WWQfcNBonYqfzcaBhJlHzPwh34sx4U6naz-Aw2G4I/edit#gid=2097425894?usp=sharing"",""1-12每月!$C16"")"),26522.0)</f>
        <v>26522</v>
      </c>
      <c r="Q16" s="83">
        <f>IFERROR(__xludf.DUMMYFUNCTION("IMPORTRANGE(""https://docs.google.com/spreadsheets/d/1pCmmgCj7Y_SQPZLsiVd3yvND9oLyryVfBwNxC6OUwm8/edit#gid=170549058?usp=sharing"",""1-12每月!$C16"")"),25437.0)</f>
        <v>25437</v>
      </c>
      <c r="R16" s="83">
        <f>IFERROR(__xludf.DUMMYFUNCTION("IMPORTRANGE(""https://docs.google.com/spreadsheets/d/1hrRqxxacrLITR_JGMRVbhSRCIZIU8gAv0o_aOkHz68M/edit#gid=763155734?usp=sharing"",""1-12每月!$C16"")"),27856.0)</f>
        <v>27856</v>
      </c>
      <c r="S16" s="83">
        <f>IFERROR(__xludf.DUMMYFUNCTION("IMPORTRANGE(""https://docs.google.com/spreadsheets/d/1AKS3XWcgwNLFRbGU-lJ3UBHDQNdglvKwrv4_Bpp1IjU/edit#gid=73116376?usp=sharing"",""1-12每月!$C16"")"),22997.0)</f>
        <v>22997</v>
      </c>
      <c r="T16" s="83">
        <f>IFERROR(__xludf.DUMMYFUNCTION("IMPORTRANGE(""https://docs.google.com/spreadsheets/d/1wGGXGHkWT5JsjUDTy4FnHN_O9ae4MADbMykqIWVThNc/edit#gid=297806252?usp=sharing"",""1-12每月!$C16"")"),17249.0)</f>
        <v>17249</v>
      </c>
      <c r="U16" s="83">
        <f>IFERROR(__xludf.DUMMYFUNCTION("IMPORTRANGE(""https://docs.google.com/spreadsheets/d/1ShTgtQQDjMKpYx-TJ_lwdxnWSzJNUcNnzR3fJjoaZec/edit#gid=66107904?usp=sharing"",""1-12每月!$C16"")"),16676.0)</f>
        <v>16676</v>
      </c>
      <c r="V16" s="83">
        <f>IFERROR(__xludf.DUMMYFUNCTION("IMPORTRANGE(""https://docs.google.com/spreadsheets/d/1_eyuyKbXFCJd6fVFEKQwugwYCbRCmmWN_M7XR1dtOb8/edit#gid=951918895?usp=sharing"",""1-12每月!$C16"")"),11722.0)</f>
        <v>11722</v>
      </c>
      <c r="W16" s="83">
        <f>IFERROR(__xludf.DUMMYFUNCTION("IMPORTRANGE(""https://docs.google.com/spreadsheets/d/1yEpHI9_Y4w8sRmPP9C-mYK4NMfVuTJifGLMj4FMdqek/edit#gid=799087919?usp=sharing"",""1-12每月!$C16"")"),13482.0)</f>
        <v>13482</v>
      </c>
      <c r="X16" s="83">
        <f>IFERROR(__xludf.DUMMYFUNCTION("IMPORTRANGE(""https://docs.google.com/spreadsheets/d/1Vbyb9GlrY6jOwvoGyZFB96f7WXYjkT6gvTE37DPDXDI/edit#gid=9591526?usp=sharing"",""1-12每月!$C16"")"),14333.0)</f>
        <v>14333</v>
      </c>
      <c r="Y16" s="83">
        <f>IFERROR(__xludf.DUMMYFUNCTION("IMPORTRANGE(""https://docs.google.com/spreadsheets/d/1qeckoJwzWQAg8zQ80D-QJP4pnVYH6l2juaUyHtOu6y8/edit#gid=1905704096?usp=sharing"",""1-12每月!$C16"")"),18980.0)</f>
        <v>18980</v>
      </c>
      <c r="Z16" s="83">
        <f>IFERROR(__xludf.DUMMYFUNCTION("IMPORTRANGE(""https://docs.google.com/spreadsheets/d/1BcbIi7AD1VDpy_wMQ0YjCG-iuQy0_tkCVqr72a0Pwbg/edit#gid=1099513714?usp=sharing"",""1-12每月!$C16"")"),15091.0)</f>
        <v>15091</v>
      </c>
      <c r="AA16" s="83">
        <f>IFERROR(__xludf.DUMMYFUNCTION("IMPORTRANGE(""https://docs.google.com/spreadsheets/d/1cIFCQPaYiOmIt2O3vkEx5eto8sfRtx3JtAWJ1fv31HI/edit#gid=432689709?usp=sharing"",""1-12每月!$C16"")"),20590.0)</f>
        <v>20590</v>
      </c>
      <c r="AB16" s="83">
        <f>IFERROR(__xludf.DUMMYFUNCTION("IMPORTRANGE(""https://docs.google.com/spreadsheets/d/1C8ECYlbes2CJkHHGOAyOYVfrP7PdlGr8RMjK7KZd0_o/edit#gid=495469277?usp=sharing"",""1-12每月!$C16"")"),16129.0)</f>
        <v>16129</v>
      </c>
      <c r="AC16" s="83">
        <f>IFERROR(__xludf.DUMMYFUNCTION("IMPORTRANGE(""https://docs.google.com/spreadsheets/d/1ettcrhLPK6tkvHZxDTyU2bGIpGSi2ynG91ln0fqz9iE/edit#gid=1364213386?usp=sharing"",""1-12每月!$C16"")"),17674.0)</f>
        <v>17674</v>
      </c>
      <c r="AD16" s="83">
        <f>IFERROR(__xludf.DUMMYFUNCTION("IMPORTRANGE(""https://docs.google.com/spreadsheets/d/1xUhm-MtqzfUO8M5WEWVv9w2EFkv5_PHMOsAlA3CcCWU/edit#gid=1700470961?usp=sharing"",""1-12每月!$C16"")"),22690.0)</f>
        <v>22690</v>
      </c>
      <c r="AE16" s="83">
        <f>IFERROR(__xludf.DUMMYFUNCTION("IMPORTRANGE(""https://docs.google.com/spreadsheets/d/1DP8wl0QQLYSZ8R2aQ8wNmiAUXn7lVrqMsdTccpBmnQc/edit#gid=1145593933?usp=sharing"",""1-12每月!$C16"")"),67228.0)</f>
        <v>67228</v>
      </c>
      <c r="AF16" s="83">
        <f>IFERROR(__xludf.DUMMYFUNCTION("IMPORTRANGE(""https://docs.google.com/spreadsheets/d/17hbKAHrpKLEbG3r9s1Ay3fOGzvOBzSu3Bn_CD4JNLhY/edit#gid=756408948?usp=sharing"",""1-12每月!$C16"")"),40877.0)</f>
        <v>40877</v>
      </c>
      <c r="AG16" s="83">
        <f>IFERROR(__xludf.DUMMYFUNCTION("IMPORTRANGE(""https://docs.google.com/spreadsheets/d/1qeecSCKZ78ENQrsyUYpSNZqvo0-Y-uuGKFA1F06yLEM/edit#gid=874445072?usp=sharing"",""1-12每月!$C16"")"),43158.0)</f>
        <v>43158</v>
      </c>
      <c r="AH16" s="83">
        <f>IFERROR(__xludf.DUMMYFUNCTION("IMPORTRANGE(""https://docs.google.com/spreadsheets/d/1BSX0y1fIKw9-3VTr627UzGVjwKe74kwBkuFnvlaueNo/edit#gid=1113655470"",""1-12每月!$C16"")"),77116.0)</f>
        <v>77116</v>
      </c>
      <c r="AI16" s="83">
        <f>IFERROR(__xludf.DUMMYFUNCTION("IMPORTRANGE(""https://docs.google.com/spreadsheets/d/1bQzlrSGiVqBrfQ6FKnw67vhBELFgthonryGzmQabVFQ/edit#gid=1015697053"",""1-12每月!$C16"")"),41513.0)</f>
        <v>41513</v>
      </c>
      <c r="AJ16" s="83">
        <f>IFERROR(__xludf.DUMMYFUNCTION("IMPORTRANGE(""https://docs.google.com/spreadsheets/d/1Pem-mgCz4CF6EUKNVxDQx16g9jie0F5YNDQ_cPnMHYs"",""1-12每月!$C16"")"),46334.0)</f>
        <v>46334</v>
      </c>
      <c r="AK16" s="83">
        <f>IFERROR(__xludf.DUMMYFUNCTION("IMPORTRANGE(""https://docs.google.com/spreadsheets/d/1ZoRtUl0m9T3TpY8H-9-ntNBO_zrYrgNKuAe_XfTeFnU"",""1-12每月!$C16"")"),181555.0)</f>
        <v>181555</v>
      </c>
      <c r="AL16" s="83">
        <f>IFERROR(__xludf.DUMMYFUNCTION("IMPORTRANGE(""https://docs.google.com/spreadsheets/d/1Y9Uv46r1nA3ixCGwTWZqhGQWDt4KVX4iXmhJgHL5CGQ"",""1-12每月!$C16"")"),185623.0)</f>
        <v>185623</v>
      </c>
      <c r="AM16" s="83">
        <f>IFERROR(__xludf.DUMMYFUNCTION("IMPORTRANGE(""https://docs.google.com/spreadsheets/d/1E3X732-CKfouAVQOwKyrePWwI1Bwg9NHD0VD42lyiu4/edit?gid=1513765949#gid=1513765949"",""1-12每月!$C16"")"),0.0)</f>
        <v>0</v>
      </c>
      <c r="AN16" s="115"/>
      <c r="AO16" s="115"/>
      <c r="AP16" s="115"/>
      <c r="AQ16" s="115"/>
      <c r="AR16" s="108"/>
    </row>
    <row r="17" ht="15.75" customHeight="1">
      <c r="A17" s="86" t="s">
        <v>45</v>
      </c>
      <c r="B17" s="87"/>
      <c r="C17" s="87"/>
      <c r="D17" s="87"/>
      <c r="E17" s="87"/>
      <c r="F17" s="87"/>
      <c r="G17" s="87"/>
      <c r="H17" s="87"/>
      <c r="I17" s="87"/>
      <c r="J17" s="87"/>
      <c r="K17" s="87"/>
      <c r="L17" s="87"/>
      <c r="M17" s="87">
        <f t="shared" ref="M17:AR17" si="1">SUM(M5:M16)</f>
        <v>719644</v>
      </c>
      <c r="N17" s="87">
        <f t="shared" si="1"/>
        <v>494302</v>
      </c>
      <c r="O17" s="87">
        <f t="shared" si="1"/>
        <v>456405</v>
      </c>
      <c r="P17" s="87">
        <f t="shared" si="1"/>
        <v>375445</v>
      </c>
      <c r="Q17" s="87">
        <f t="shared" si="1"/>
        <v>387928</v>
      </c>
      <c r="R17" s="87">
        <f t="shared" si="1"/>
        <v>354417</v>
      </c>
      <c r="S17" s="87">
        <f t="shared" si="1"/>
        <v>322186</v>
      </c>
      <c r="T17" s="87">
        <f t="shared" si="1"/>
        <v>257076</v>
      </c>
      <c r="U17" s="87">
        <f t="shared" si="1"/>
        <v>226876</v>
      </c>
      <c r="V17" s="87">
        <f t="shared" si="1"/>
        <v>222936</v>
      </c>
      <c r="W17" s="87">
        <f t="shared" si="1"/>
        <v>219541</v>
      </c>
      <c r="X17" s="87">
        <f t="shared" si="1"/>
        <v>210495</v>
      </c>
      <c r="Y17" s="87">
        <f t="shared" si="1"/>
        <v>237907</v>
      </c>
      <c r="Z17" s="87">
        <f t="shared" si="1"/>
        <v>240253</v>
      </c>
      <c r="AA17" s="87">
        <f t="shared" si="1"/>
        <v>288194</v>
      </c>
      <c r="AB17" s="87">
        <f t="shared" si="1"/>
        <v>351344</v>
      </c>
      <c r="AC17" s="87">
        <f t="shared" si="1"/>
        <v>417276</v>
      </c>
      <c r="AD17" s="87">
        <f t="shared" si="1"/>
        <v>330796</v>
      </c>
      <c r="AE17" s="87">
        <f t="shared" si="1"/>
        <v>484603.84</v>
      </c>
      <c r="AF17" s="87">
        <f t="shared" si="1"/>
        <v>664999.2</v>
      </c>
      <c r="AG17" s="87">
        <f t="shared" si="1"/>
        <v>770293</v>
      </c>
      <c r="AH17" s="87">
        <f t="shared" si="1"/>
        <v>608969</v>
      </c>
      <c r="AI17" s="87">
        <f t="shared" si="1"/>
        <v>616149</v>
      </c>
      <c r="AJ17" s="87">
        <f t="shared" si="1"/>
        <v>609595</v>
      </c>
      <c r="AK17" s="87">
        <f t="shared" si="1"/>
        <v>2367298</v>
      </c>
      <c r="AL17" s="87">
        <f t="shared" si="1"/>
        <v>2409438</v>
      </c>
      <c r="AM17" s="87">
        <f t="shared" si="1"/>
        <v>288773</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-0.3131298253</v>
      </c>
      <c r="O18" s="90">
        <f t="shared" si="2"/>
        <v>-0.07666770517</v>
      </c>
      <c r="P18" s="90">
        <f t="shared" si="2"/>
        <v>-0.1773863126</v>
      </c>
      <c r="Q18" s="90">
        <f t="shared" si="2"/>
        <v>0.03324854506</v>
      </c>
      <c r="R18" s="90">
        <f t="shared" si="2"/>
        <v>-0.08638458683</v>
      </c>
      <c r="S18" s="90">
        <f t="shared" si="2"/>
        <v>-0.0909408973</v>
      </c>
      <c r="T18" s="90">
        <f t="shared" si="2"/>
        <v>-0.2020882347</v>
      </c>
      <c r="U18" s="90">
        <f t="shared" si="2"/>
        <v>-0.1174749879</v>
      </c>
      <c r="V18" s="90">
        <f t="shared" si="2"/>
        <v>-0.01736631464</v>
      </c>
      <c r="W18" s="90">
        <f t="shared" si="2"/>
        <v>-0.01522858578</v>
      </c>
      <c r="X18" s="90">
        <f t="shared" si="2"/>
        <v>-0.04120414866</v>
      </c>
      <c r="Y18" s="90">
        <f t="shared" si="2"/>
        <v>0.1302263712</v>
      </c>
      <c r="Z18" s="90">
        <f t="shared" si="2"/>
        <v>0.009860996104</v>
      </c>
      <c r="AA18" s="90">
        <f t="shared" si="2"/>
        <v>0.1995438142</v>
      </c>
      <c r="AB18" s="90">
        <f t="shared" si="2"/>
        <v>0.2191232295</v>
      </c>
      <c r="AC18" s="90">
        <f t="shared" si="2"/>
        <v>0.1876565417</v>
      </c>
      <c r="AD18" s="90">
        <f t="shared" ref="AD18:AR18" si="3">IF(AC17=0,0,(AD17-AC17)/AC17)</f>
        <v>-0.2072489192</v>
      </c>
      <c r="AE18" s="90">
        <f t="shared" si="3"/>
        <v>0.464962817</v>
      </c>
      <c r="AF18" s="90">
        <f t="shared" si="3"/>
        <v>0.3722532616</v>
      </c>
      <c r="AG18" s="90">
        <f t="shared" si="3"/>
        <v>0.1583367318</v>
      </c>
      <c r="AH18" s="90">
        <f t="shared" si="3"/>
        <v>-0.2094319954</v>
      </c>
      <c r="AI18" s="90">
        <f t="shared" si="3"/>
        <v>0.01179041955</v>
      </c>
      <c r="AJ18" s="90">
        <f t="shared" si="3"/>
        <v>-0.01063703747</v>
      </c>
      <c r="AK18" s="90">
        <f t="shared" si="3"/>
        <v>2.883394713</v>
      </c>
      <c r="AL18" s="90">
        <f t="shared" si="3"/>
        <v>0.01780088523</v>
      </c>
      <c r="AM18" s="90">
        <f t="shared" si="3"/>
        <v>-0.8801492298</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t="s">
        <v>105</v>
      </c>
      <c r="AE19" s="77"/>
      <c r="AF19" s="77"/>
      <c r="AG19" s="77"/>
      <c r="AH19" s="77"/>
      <c r="AI19" s="77"/>
      <c r="AJ19" s="77"/>
      <c r="AK19" s="77"/>
      <c r="AL19" s="77"/>
      <c r="AM19" s="77"/>
      <c r="AN19" s="77"/>
      <c r="AO19" s="77"/>
      <c r="AP19" s="77"/>
      <c r="AQ19" s="77"/>
      <c r="AR19" s="77"/>
    </row>
    <row r="20" ht="15.75" customHeight="1">
      <c r="A20" s="77" t="s">
        <v>108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77" t="s">
        <v>109</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48.0" customHeight="1">
      <c r="A22" s="117" t="s">
        <v>110</v>
      </c>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row>
    <row r="23" ht="15.75" customHeight="1">
      <c r="A23" s="110" t="s">
        <v>111</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row>
    <row r="24" ht="15.75" customHeight="1">
      <c r="A24" s="110" t="s">
        <v>112</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102</v>
      </c>
      <c r="AD24" s="92">
        <f t="shared" ref="AD24:AE24" si="4">SUM(AD$5:AD$6)</f>
        <v>52445</v>
      </c>
      <c r="AE24" s="92">
        <f t="shared" si="4"/>
        <v>42833.62</v>
      </c>
      <c r="AF24" s="77"/>
      <c r="AG24" s="77"/>
      <c r="AH24" s="77"/>
      <c r="AI24" s="77"/>
      <c r="AJ24" s="77"/>
      <c r="AK24" s="77"/>
      <c r="AL24" s="77"/>
      <c r="AM24" s="77"/>
      <c r="AN24" s="77"/>
      <c r="AO24" s="77"/>
      <c r="AP24" s="77"/>
      <c r="AQ24" s="77"/>
      <c r="AR24" s="77"/>
    </row>
    <row r="25" ht="15.75" customHeight="1">
      <c r="A25" s="110" t="s">
        <v>113</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t="s">
        <v>104</v>
      </c>
      <c r="AD25" s="92">
        <f t="shared" ref="AD25:AE25" si="5">SUM(AD$7:AD$11)</f>
        <v>107132</v>
      </c>
      <c r="AE25" s="92">
        <f t="shared" si="5"/>
        <v>212983.22</v>
      </c>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3" width="3.67"/>
    <col customWidth="1" hidden="1" min="14" max="23" width="3.67"/>
    <col customWidth="1" hidden="1" min="24" max="28" width="4.0"/>
    <col customWidth="1" hidden="1" min="29" max="33" width="9.11"/>
    <col customWidth="1" min="34" max="43" width="9.11"/>
    <col customWidth="1" min="44" max="44" width="11.67"/>
  </cols>
  <sheetData>
    <row r="1" ht="15.75" customHeight="1">
      <c r="A1" s="74" t="s">
        <v>114</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115</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f>IFERROR(__xludf.DUMMYFUNCTION("IMPORTRANGE(""https://docs.google.com/spreadsheets/d/1ettcrhLPK6tkvHZxDTyU2bGIpGSi2ynG91ln0fqz9iE/edit#gid=1364213386"",""1-12每月!$D5"")"),88606.0)</f>
        <v>88606</v>
      </c>
      <c r="AD5" s="83">
        <f>IFERROR(__xludf.DUMMYFUNCTION("IMPORTRANGE(""https://docs.google.com/spreadsheets/d/1xUhm-MtqzfUO8M5WEWVv9w2EFkv5_PHMOsAlA3CcCWU/edit#gid=1700470961"",""1-12每月!$D5"")"),64659.0)</f>
        <v>64659</v>
      </c>
      <c r="AE5" s="83">
        <f>IFERROR(__xludf.DUMMYFUNCTION("IMPORTRANGE(""https://docs.google.com/spreadsheets/d/1DP8wl0QQLYSZ8R2aQ8wNmiAUXn7lVrqMsdTccpBmnQc/edit#gid=1145593933"",""1-12每月!$D5"")"),32387.450000000004)</f>
        <v>32387.45</v>
      </c>
      <c r="AF5" s="83">
        <f>IFERROR(__xludf.DUMMYFUNCTION("IMPORTRANGE(""https://docs.google.com/spreadsheets/d/17hbKAHrpKLEbG3r9s1Ay3fOGzvOBzSu3Bn_CD4JNLhY/edit#gid=756408948"",""1-12每月!$D5"")"),33432.82)</f>
        <v>33432.82</v>
      </c>
      <c r="AG5" s="83">
        <f>IFERROR(__xludf.DUMMYFUNCTION("IMPORTRANGE(""https://docs.google.com/spreadsheets/d/1qeecSCKZ78ENQrsyUYpSNZqvo0-Y-uuGKFA1F06yLEM/edit#gid=874445072"",""1-12每月!$D5"")"),58783.0)</f>
        <v>58783</v>
      </c>
      <c r="AH5" s="83">
        <f>IFERROR(__xludf.DUMMYFUNCTION("IMPORTRANGE(""https://docs.google.com/spreadsheets/d/1BSX0y1fIKw9-3VTr627UzGVjwKe74kwBkuFnvlaueNo/edit#gid=1113655470"",""1-12每月!$D5"")"),41405.0)</f>
        <v>41405</v>
      </c>
      <c r="AI5" s="83">
        <f>IFERROR(__xludf.DUMMYFUNCTION("IMPORTRANGE(""https://docs.google.com/spreadsheets/d/1bQzlrSGiVqBrfQ6FKnw67vhBELFgthonryGzmQabVFQ/edit#gid=1015697053"",""1-12每月!$D5"")"),11161.0)</f>
        <v>11161</v>
      </c>
      <c r="AJ5" s="83">
        <f>IFERROR(__xludf.DUMMYFUNCTION("IMPORTRANGE(""https://docs.google.com/spreadsheets/d/1Pem-mgCz4CF6EUKNVxDQx16g9jie0F5YNDQ_cPnMHYs"",""1-12每月!$D5"")"),22903.0)</f>
        <v>22903</v>
      </c>
      <c r="AK5" s="83"/>
      <c r="AL5" s="83"/>
      <c r="AM5" s="114"/>
      <c r="AN5" s="114"/>
      <c r="AO5" s="114"/>
      <c r="AP5" s="114"/>
      <c r="AQ5" s="114"/>
      <c r="AR5" s="84"/>
    </row>
    <row r="6" ht="15.75" customHeight="1">
      <c r="A6" s="85">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f>IFERROR(__xludf.DUMMYFUNCTION("IMPORTRANGE(""https://docs.google.com/spreadsheets/d/1ettcrhLPK6tkvHZxDTyU2bGIpGSi2ynG91ln0fqz9iE/edit#gid=1364213386?usp=sharing"",""1-12每月!$D6"")"),162734.0)</f>
        <v>162734</v>
      </c>
      <c r="AD6" s="83">
        <f>IFERROR(__xludf.DUMMYFUNCTION("IMPORTRANGE(""https://docs.google.com/spreadsheets/d/1xUhm-MtqzfUO8M5WEWVv9w2EFkv5_PHMOsAlA3CcCWU/edit#gid=1700470961?usp=sharing"",""1-12每月!$D6"")"),50143.0)</f>
        <v>50143</v>
      </c>
      <c r="AE6" s="83">
        <f>IFERROR(__xludf.DUMMYFUNCTION("IMPORTRANGE(""https://docs.google.com/spreadsheets/d/1DP8wl0QQLYSZ8R2aQ8wNmiAUXn7lVrqMsdTccpBmnQc/edit#gid=1145593933?usp=sharing"",""1-12每月!$D6"")"),49497.0)</f>
        <v>49497</v>
      </c>
      <c r="AF6" s="83">
        <f>IFERROR(__xludf.DUMMYFUNCTION("IMPORTRANGE(""https://docs.google.com/spreadsheets/d/17hbKAHrpKLEbG3r9s1Ay3fOGzvOBzSu3Bn_CD4JNLhY/edit#gid=756408948?usp=sharing"",""1-12每月!$D6"")"),52845.58)</f>
        <v>52845.58</v>
      </c>
      <c r="AG6" s="83">
        <f>IFERROR(__xludf.DUMMYFUNCTION("IMPORTRANGE(""https://docs.google.com/spreadsheets/d/1qeecSCKZ78ENQrsyUYpSNZqvo0-Y-uuGKFA1F06yLEM/edit#gid=874445072?usp=sharing"",""1-12每月!$D6"")"),28451.0)</f>
        <v>28451</v>
      </c>
      <c r="AH6" s="83">
        <f>IFERROR(__xludf.DUMMYFUNCTION("IMPORTRANGE(""https://docs.google.com/spreadsheets/d/1BSX0y1fIKw9-3VTr627UzGVjwKe74kwBkuFnvlaueNo/edit#gid=1113655470"",""1-12每月!$D6"")"),57139.0)</f>
        <v>57139</v>
      </c>
      <c r="AI6" s="83">
        <f>IFERROR(__xludf.DUMMYFUNCTION("IMPORTRANGE(""https://docs.google.com/spreadsheets/d/1bQzlrSGiVqBrfQ6FKnw67vhBELFgthonryGzmQabVFQ/edit#gid=1015697053"",""1-12每月!$D6"")"),27633.0)</f>
        <v>27633</v>
      </c>
      <c r="AJ6" s="83">
        <f>IFERROR(__xludf.DUMMYFUNCTION("IMPORTRANGE(""https://docs.google.com/spreadsheets/d/1Pem-mgCz4CF6EUKNVxDQx16g9jie0F5YNDQ_cPnMHYs"",""1-12每月!$D6"")"),17741.0)</f>
        <v>17741</v>
      </c>
      <c r="AK6" s="83"/>
      <c r="AL6" s="83"/>
      <c r="AM6" s="114"/>
      <c r="AN6" s="114"/>
      <c r="AO6" s="114"/>
      <c r="AP6" s="114"/>
      <c r="AQ6" s="114"/>
      <c r="AR6" s="84"/>
    </row>
    <row r="7" ht="15.75" customHeight="1">
      <c r="A7" s="85">
        <v>3.0</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f>IFERROR(__xludf.DUMMYFUNCTION("IMPORTRANGE(""https://docs.google.com/spreadsheets/d/1ettcrhLPK6tkvHZxDTyU2bGIpGSi2ynG91ln0fqz9iE/edit#gid=1364213386?usp=sharing"",""1-12每月!$D7"")"),130579.0)</f>
        <v>130579</v>
      </c>
      <c r="AD7" s="83">
        <f>IFERROR(__xludf.DUMMYFUNCTION("IMPORTRANGE(""https://docs.google.com/spreadsheets/d/1xUhm-MtqzfUO8M5WEWVv9w2EFkv5_PHMOsAlA3CcCWU/edit#gid=1700470961?usp=sharing"",""1-12每月!$D7"")"),38121.0)</f>
        <v>38121</v>
      </c>
      <c r="AE7" s="83">
        <f>IFERROR(__xludf.DUMMYFUNCTION("IMPORTRANGE(""https://docs.google.com/spreadsheets/d/1DP8wl0QQLYSZ8R2aQ8wNmiAUXn7lVrqMsdTccpBmnQc/edit#gid=1145593933?usp=sharing"",""1-12每月!$D7"")"),37698.0)</f>
        <v>37698</v>
      </c>
      <c r="AF7" s="83">
        <f>IFERROR(__xludf.DUMMYFUNCTION("IMPORTRANGE(""https://docs.google.com/spreadsheets/d/17hbKAHrpKLEbG3r9s1Ay3fOGzvOBzSu3Bn_CD4JNLhY/edit#gid=756408948?usp=sharing"",""1-12每月!$D7"")"),52375.51000000001)</f>
        <v>52375.51</v>
      </c>
      <c r="AG7" s="83">
        <f>IFERROR(__xludf.DUMMYFUNCTION("IMPORTRANGE(""https://docs.google.com/spreadsheets/d/1qeecSCKZ78ENQrsyUYpSNZqvo0-Y-uuGKFA1F06yLEM/edit#gid=874445072?usp=sharing"",""1-12每月!$D7"")"),13034.0)</f>
        <v>13034</v>
      </c>
      <c r="AH7" s="83">
        <f>IFERROR(__xludf.DUMMYFUNCTION("IMPORTRANGE(""https://docs.google.com/spreadsheets/d/1BSX0y1fIKw9-3VTr627UzGVjwKe74kwBkuFnvlaueNo/edit#gid=1113655470"",""1-12每月!$D7"")"),15639.0)</f>
        <v>15639</v>
      </c>
      <c r="AI7" s="83">
        <f>IFERROR(__xludf.DUMMYFUNCTION("IMPORTRANGE(""https://docs.google.com/spreadsheets/d/1bQzlrSGiVqBrfQ6FKnw67vhBELFgthonryGzmQabVFQ/edit#gid=1015697053"",""1-12每月!$D7"")"),8766.0)</f>
        <v>8766</v>
      </c>
      <c r="AJ7" s="83">
        <f>IFERROR(__xludf.DUMMYFUNCTION("IMPORTRANGE(""https://docs.google.com/spreadsheets/d/1Pem-mgCz4CF6EUKNVxDQx16g9jie0F5YNDQ_cPnMHYs"",""1-12每月!$D7"")"),11161.0)</f>
        <v>11161</v>
      </c>
      <c r="AK7" s="83"/>
      <c r="AL7" s="83"/>
      <c r="AM7" s="114"/>
      <c r="AN7" s="114"/>
      <c r="AO7" s="114"/>
      <c r="AP7" s="114"/>
      <c r="AQ7" s="114"/>
      <c r="AR7" s="84"/>
    </row>
    <row r="8" ht="15.75" customHeight="1">
      <c r="A8" s="85">
        <v>4.0</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f>IFERROR(__xludf.DUMMYFUNCTION("IMPORTRANGE(""https://docs.google.com/spreadsheets/d/1ettcrhLPK6tkvHZxDTyU2bGIpGSi2ynG91ln0fqz9iE/edit#gid=1364213386?usp=sharing"",""1-12每月!$D8"")"),96444.0)</f>
        <v>96444</v>
      </c>
      <c r="AD8" s="83">
        <f>IFERROR(__xludf.DUMMYFUNCTION("IMPORTRANGE(""https://docs.google.com/spreadsheets/d/1xUhm-MtqzfUO8M5WEWVv9w2EFkv5_PHMOsAlA3CcCWU/edit#gid=1700470961?usp=sharing"",""1-12每月!$D8"")"),44178.0)</f>
        <v>44178</v>
      </c>
      <c r="AE8" s="83">
        <f>IFERROR(__xludf.DUMMYFUNCTION("IMPORTRANGE(""https://docs.google.com/spreadsheets/d/1DP8wl0QQLYSZ8R2aQ8wNmiAUXn7lVrqMsdTccpBmnQc/edit#gid=1145593933?usp=sharing"",""1-12每月!$D8"")"),61069.0)</f>
        <v>61069</v>
      </c>
      <c r="AF8" s="83">
        <f>IFERROR(__xludf.DUMMYFUNCTION("IMPORTRANGE(""https://docs.google.com/spreadsheets/d/17hbKAHrpKLEbG3r9s1Ay3fOGzvOBzSu3Bn_CD4JNLhY/edit#gid=756408948?usp=sharing"",""1-12每月!$D8"")"),52342.0)</f>
        <v>52342</v>
      </c>
      <c r="AG8" s="83">
        <f>IFERROR(__xludf.DUMMYFUNCTION("IMPORTRANGE(""https://docs.google.com/spreadsheets/d/1qeecSCKZ78ENQrsyUYpSNZqvo0-Y-uuGKFA1F06yLEM/edit#gid=874445072?usp=sharing"",""1-12每月!$D8"")"),16338.0)</f>
        <v>16338</v>
      </c>
      <c r="AH8" s="83">
        <f>IFERROR(__xludf.DUMMYFUNCTION("IMPORTRANGE(""https://docs.google.com/spreadsheets/d/1BSX0y1fIKw9-3VTr627UzGVjwKe74kwBkuFnvlaueNo/edit#gid=1113655470"",""1-12每月!$D8"")"),29013.0)</f>
        <v>29013</v>
      </c>
      <c r="AI8" s="83">
        <f>IFERROR(__xludf.DUMMYFUNCTION("IMPORTRANGE(""https://docs.google.com/spreadsheets/d/1bQzlrSGiVqBrfQ6FKnw67vhBELFgthonryGzmQabVFQ/edit#gid=1015697053"",""1-12每月!$D8"")"),13262.0)</f>
        <v>13262</v>
      </c>
      <c r="AJ8" s="83">
        <f>IFERROR(__xludf.DUMMYFUNCTION("IMPORTRANGE(""https://docs.google.com/spreadsheets/d/1Pem-mgCz4CF6EUKNVxDQx16g9jie0F5YNDQ_cPnMHYs"",""1-12每月!$D8"")"),17119.0)</f>
        <v>17119</v>
      </c>
      <c r="AK8" s="83"/>
      <c r="AL8" s="83"/>
      <c r="AM8" s="114"/>
      <c r="AN8" s="114"/>
      <c r="AO8" s="114"/>
      <c r="AP8" s="114"/>
      <c r="AQ8" s="114"/>
      <c r="AR8" s="84"/>
    </row>
    <row r="9" ht="15.75" customHeight="1">
      <c r="A9" s="85">
        <v>5.0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f>IFERROR(__xludf.DUMMYFUNCTION("IMPORTRANGE(""https://docs.google.com/spreadsheets/d/1ettcrhLPK6tkvHZxDTyU2bGIpGSi2ynG91ln0fqz9iE/edit#gid=1364213386?usp=sharing"",""1-12每月!$D9"")"),84420.0)</f>
        <v>84420</v>
      </c>
      <c r="AD9" s="83">
        <f>IFERROR(__xludf.DUMMYFUNCTION("IMPORTRANGE(""https://docs.google.com/spreadsheets/d/1xUhm-MtqzfUO8M5WEWVv9w2EFkv5_PHMOsAlA3CcCWU/edit#gid=1700470961?usp=sharing"",""1-12每月!$D9"")"),48472.0)</f>
        <v>48472</v>
      </c>
      <c r="AE9" s="83">
        <f>IFERROR(__xludf.DUMMYFUNCTION("IMPORTRANGE(""https://docs.google.com/spreadsheets/d/1DP8wl0QQLYSZ8R2aQ8wNmiAUXn7lVrqMsdTccpBmnQc/edit#gid=1145593933?usp=sharing"",""1-12每月!$D9"")"),39131.0)</f>
        <v>39131</v>
      </c>
      <c r="AF9" s="83">
        <f>IFERROR(__xludf.DUMMYFUNCTION("IMPORTRANGE(""https://docs.google.com/spreadsheets/d/17hbKAHrpKLEbG3r9s1Ay3fOGzvOBzSu3Bn_CD4JNLhY/edit#gid=756408948?usp=sharing"",""1-12每月!$D9"")"),49116.08)</f>
        <v>49116.08</v>
      </c>
      <c r="AG9" s="83">
        <f>IFERROR(__xludf.DUMMYFUNCTION("IMPORTRANGE(""https://docs.google.com/spreadsheets/d/1qeecSCKZ78ENQrsyUYpSNZqvo0-Y-uuGKFA1F06yLEM/edit#gid=874445072?usp=sharing"",""1-12每月!$D9"")"),15444.0)</f>
        <v>15444</v>
      </c>
      <c r="AH9" s="83">
        <f>IFERROR(__xludf.DUMMYFUNCTION("IMPORTRANGE(""https://docs.google.com/spreadsheets/d/1BSX0y1fIKw9-3VTr627UzGVjwKe74kwBkuFnvlaueNo/edit#gid=1113655470"",""1-12每月!$D9"")"),9983.0)</f>
        <v>9983</v>
      </c>
      <c r="AI9" s="83">
        <f>IFERROR(__xludf.DUMMYFUNCTION("IMPORTRANGE(""https://docs.google.com/spreadsheets/d/1bQzlrSGiVqBrfQ6FKnw67vhBELFgthonryGzmQabVFQ/edit#gid=1015697053"",""1-12每月!$D9"")"),5610.0)</f>
        <v>5610</v>
      </c>
      <c r="AJ9" s="83">
        <f>IFERROR(__xludf.DUMMYFUNCTION("IMPORTRANGE(""https://docs.google.com/spreadsheets/d/1Pem-mgCz4CF6EUKNVxDQx16g9jie0F5YNDQ_cPnMHYs"",""1-12每月!$D9"")"),11676.0)</f>
        <v>11676</v>
      </c>
      <c r="AK9" s="83"/>
      <c r="AL9" s="83"/>
      <c r="AM9" s="114"/>
      <c r="AN9" s="114"/>
      <c r="AO9" s="114"/>
      <c r="AP9" s="114"/>
      <c r="AQ9" s="114"/>
      <c r="AR9" s="84"/>
    </row>
    <row r="10" ht="15.75" customHeight="1">
      <c r="A10" s="85">
        <v>6.0</v>
      </c>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f>IFERROR(__xludf.DUMMYFUNCTION("IMPORTRANGE(""https://docs.google.com/spreadsheets/d/1ettcrhLPK6tkvHZxDTyU2bGIpGSi2ynG91ln0fqz9iE/edit#gid=1364213386?usp=sharing"",""1-12每月!$D10"")"),58574.0)</f>
        <v>58574</v>
      </c>
      <c r="AD10" s="83">
        <f>IFERROR(__xludf.DUMMYFUNCTION("IMPORTRANGE(""https://docs.google.com/spreadsheets/d/1xUhm-MtqzfUO8M5WEWVv9w2EFkv5_PHMOsAlA3CcCWU/edit#gid=1700470961?usp=sharing"",""1-12每月!$D10"")"),30759.0)</f>
        <v>30759</v>
      </c>
      <c r="AE10" s="83">
        <f>IFERROR(__xludf.DUMMYFUNCTION("IMPORTRANGE(""https://docs.google.com/spreadsheets/d/1DP8wl0QQLYSZ8R2aQ8wNmiAUXn7lVrqMsdTccpBmnQc/edit#gid=1145593933?usp=sharing"",""1-12每月!$D10"")"),32797.950000000004)</f>
        <v>32797.95</v>
      </c>
      <c r="AF10" s="83">
        <f>IFERROR(__xludf.DUMMYFUNCTION("IMPORTRANGE(""https://docs.google.com/spreadsheets/d/17hbKAHrpKLEbG3r9s1Ay3fOGzvOBzSu3Bn_CD4JNLhY/edit#gid=756408948?usp=sharing"",""1-12每月!$D10"")"),48527.34)</f>
        <v>48527.34</v>
      </c>
      <c r="AG10" s="83">
        <f>IFERROR(__xludf.DUMMYFUNCTION("IMPORTRANGE(""https://docs.google.com/spreadsheets/d/1qeecSCKZ78ENQrsyUYpSNZqvo0-Y-uuGKFA1F06yLEM/edit#gid=874445072?usp=sharing"",""1-12每月!$D10"")"),30961.0)</f>
        <v>30961</v>
      </c>
      <c r="AH10" s="83">
        <f>IFERROR(__xludf.DUMMYFUNCTION("IMPORTRANGE(""https://docs.google.com/spreadsheets/d/1BSX0y1fIKw9-3VTr627UzGVjwKe74kwBkuFnvlaueNo/edit#gid=1113655470"",""1-12每月!$D10"")"),0.0)</f>
        <v>0</v>
      </c>
      <c r="AI10" s="83">
        <f>IFERROR(__xludf.DUMMYFUNCTION("IMPORTRANGE(""https://docs.google.com/spreadsheets/d/1bQzlrSGiVqBrfQ6FKnw67vhBELFgthonryGzmQabVFQ/edit#gid=1015697053"",""1-12每月!$D10"")"),6003.0)</f>
        <v>6003</v>
      </c>
      <c r="AJ10" s="83">
        <f>IFERROR(__xludf.DUMMYFUNCTION("IMPORTRANGE(""https://docs.google.com/spreadsheets/d/1Pem-mgCz4CF6EUKNVxDQx16g9jie0F5YNDQ_cPnMHYs"",""1-12每月!$D10"")"),9408.0)</f>
        <v>9408</v>
      </c>
      <c r="AK10" s="83"/>
      <c r="AL10" s="83"/>
      <c r="AM10" s="115"/>
      <c r="AN10" s="115"/>
      <c r="AO10" s="115"/>
      <c r="AP10" s="115"/>
      <c r="AQ10" s="115"/>
      <c r="AR10" s="108"/>
    </row>
    <row r="11" ht="15.75" customHeight="1">
      <c r="A11" s="85">
        <v>7.0</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f>IFERROR(__xludf.DUMMYFUNCTION("IMPORTRANGE(""https://docs.google.com/spreadsheets/d/1ettcrhLPK6tkvHZxDTyU2bGIpGSi2ynG91ln0fqz9iE/edit#gid=1364213386?usp=sharing"",""1-12每月!$D11"")"),77545.0)</f>
        <v>77545</v>
      </c>
      <c r="AD11" s="83">
        <f>IFERROR(__xludf.DUMMYFUNCTION("IMPORTRANGE(""https://docs.google.com/spreadsheets/d/1xUhm-MtqzfUO8M5WEWVv9w2EFkv5_PHMOsAlA3CcCWU/edit#gid=1700470961?usp=sharing"",""1-12每月!$D11"")"),50639.0)</f>
        <v>50639</v>
      </c>
      <c r="AE11" s="83">
        <f>IFERROR(__xludf.DUMMYFUNCTION("IMPORTRANGE(""https://docs.google.com/spreadsheets/d/1DP8wl0QQLYSZ8R2aQ8wNmiAUXn7lVrqMsdTccpBmnQc/edit#gid=1145593933?usp=sharing"",""1-12每月!$D11"")"),40740.0)</f>
        <v>40740</v>
      </c>
      <c r="AF11" s="83">
        <f>IFERROR(__xludf.DUMMYFUNCTION("IMPORTRANGE(""https://docs.google.com/spreadsheets/d/17hbKAHrpKLEbG3r9s1Ay3fOGzvOBzSu3Bn_CD4JNLhY/edit#gid=756408948?usp=sharing"",""1-12每月!$D11"")"),47292.590000000004)</f>
        <v>47292.59</v>
      </c>
      <c r="AG11" s="83">
        <f>IFERROR(__xludf.DUMMYFUNCTION("IMPORTRANGE(""https://docs.google.com/spreadsheets/d/1qeecSCKZ78ENQrsyUYpSNZqvo0-Y-uuGKFA1F06yLEM/edit#gid=874445072?usp=sharing"",""1-12每月!$D11"")"),40083.0)</f>
        <v>40083</v>
      </c>
      <c r="AH11" s="83">
        <f>IFERROR(__xludf.DUMMYFUNCTION("IMPORTRANGE(""https://docs.google.com/spreadsheets/d/1BSX0y1fIKw9-3VTr627UzGVjwKe74kwBkuFnvlaueNo/edit#gid=1113655470"",""1-12每月!$D11"")"),422.0)</f>
        <v>422</v>
      </c>
      <c r="AI11" s="83">
        <f>IFERROR(__xludf.DUMMYFUNCTION("IMPORTRANGE(""https://docs.google.com/spreadsheets/d/1bQzlrSGiVqBrfQ6FKnw67vhBELFgthonryGzmQabVFQ/edit#gid=1015697053"",""1-12每月!$D11"")"),15235.0)</f>
        <v>15235</v>
      </c>
      <c r="AJ11" s="83">
        <f>IFERROR(__xludf.DUMMYFUNCTION("IMPORTRANGE(""https://docs.google.com/spreadsheets/d/1Pem-mgCz4CF6EUKNVxDQx16g9jie0F5YNDQ_cPnMHYs"",""1-12每月!$D11"")"),15266.0)</f>
        <v>15266</v>
      </c>
      <c r="AK11" s="83"/>
      <c r="AL11" s="83"/>
      <c r="AM11" s="115"/>
      <c r="AN11" s="115"/>
      <c r="AO11" s="115"/>
      <c r="AP11" s="115"/>
      <c r="AQ11" s="115"/>
      <c r="AR11" s="108"/>
    </row>
    <row r="12" ht="15.75" customHeight="1">
      <c r="A12" s="85">
        <v>8.0</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f>IFERROR(__xludf.DUMMYFUNCTION("IMPORTRANGE(""https://docs.google.com/spreadsheets/d/1ettcrhLPK6tkvHZxDTyU2bGIpGSi2ynG91ln0fqz9iE/edit#gid=1364213386?usp=sharing"",""1-12每月!$D12"")"),64541.0)</f>
        <v>64541</v>
      </c>
      <c r="AD12" s="83">
        <f>IFERROR(__xludf.DUMMYFUNCTION("IMPORTRANGE(""https://docs.google.com/spreadsheets/d/1xUhm-MtqzfUO8M5WEWVv9w2EFkv5_PHMOsAlA3CcCWU/edit#gid=1700470961?usp=sharing"",""1-12每月!$D12"")"),60626.0)</f>
        <v>60626</v>
      </c>
      <c r="AE12" s="83">
        <f>IFERROR(__xludf.DUMMYFUNCTION("IMPORTRANGE(""https://docs.google.com/spreadsheets/d/1DP8wl0QQLYSZ8R2aQ8wNmiAUXn7lVrqMsdTccpBmnQc/edit#gid=1145593933?usp=sharing"",""1-12每月!$D12"")"),42170.0)</f>
        <v>42170</v>
      </c>
      <c r="AF12" s="83">
        <f>IFERROR(__xludf.DUMMYFUNCTION("IMPORTRANGE(""https://docs.google.com/spreadsheets/d/17hbKAHrpKLEbG3r9s1Ay3fOGzvOBzSu3Bn_CD4JNLhY/edit#gid=756408948?usp=sharing"",""1-12每月!$D12"")"),45632.0)</f>
        <v>45632</v>
      </c>
      <c r="AG12" s="83">
        <f>IFERROR(__xludf.DUMMYFUNCTION("IMPORTRANGE(""https://docs.google.com/spreadsheets/d/1qeecSCKZ78ENQrsyUYpSNZqvo0-Y-uuGKFA1F06yLEM/edit#gid=874445072?usp=sharing"",""1-12每月!$D12"")"),62880.0)</f>
        <v>62880</v>
      </c>
      <c r="AH12" s="83">
        <f>IFERROR(__xludf.DUMMYFUNCTION("IMPORTRANGE(""https://docs.google.com/spreadsheets/d/1BSX0y1fIKw9-3VTr627UzGVjwKe74kwBkuFnvlaueNo/edit#gid=1113655470"",""1-12每月!$D12"")"),9578.0)</f>
        <v>9578</v>
      </c>
      <c r="AI12" s="83">
        <f>IFERROR(__xludf.DUMMYFUNCTION("IMPORTRANGE(""https://docs.google.com/spreadsheets/d/1bQzlrSGiVqBrfQ6FKnw67vhBELFgthonryGzmQabVFQ/edit#gid=1015697053"",""1-12每月!$D12"")"),14584.0)</f>
        <v>14584</v>
      </c>
      <c r="AJ12" s="83">
        <f>IFERROR(__xludf.DUMMYFUNCTION("IMPORTRANGE(""https://docs.google.com/spreadsheets/d/1Pem-mgCz4CF6EUKNVxDQx16g9jie0F5YNDQ_cPnMHYs"",""1-12每月!$D12"")"),14461.0)</f>
        <v>14461</v>
      </c>
      <c r="AK12" s="83"/>
      <c r="AL12" s="83"/>
      <c r="AM12" s="115"/>
      <c r="AN12" s="115"/>
      <c r="AO12" s="115"/>
      <c r="AP12" s="115"/>
      <c r="AQ12" s="115"/>
      <c r="AR12" s="108"/>
    </row>
    <row r="13" ht="15.75" customHeight="1">
      <c r="A13" s="85">
        <v>9.0</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f>IFERROR(__xludf.DUMMYFUNCTION("IMPORTRANGE(""https://docs.google.com/spreadsheets/d/1ettcrhLPK6tkvHZxDTyU2bGIpGSi2ynG91ln0fqz9iE/edit#gid=1364213386?usp=sharing"",""1-12每月!$D13"")"),38461.0)</f>
        <v>38461</v>
      </c>
      <c r="AD13" s="83">
        <f>IFERROR(__xludf.DUMMYFUNCTION("IMPORTRANGE(""https://docs.google.com/spreadsheets/d/1xUhm-MtqzfUO8M5WEWVv9w2EFkv5_PHMOsAlA3CcCWU/edit#gid=1700470961?usp=sharing"",""1-12每月!$D13"")"),30121.0)</f>
        <v>30121</v>
      </c>
      <c r="AE13" s="83">
        <f>IFERROR(__xludf.DUMMYFUNCTION("IMPORTRANGE(""https://docs.google.com/spreadsheets/d/1DP8wl0QQLYSZ8R2aQ8wNmiAUXn7lVrqMsdTccpBmnQc/edit#gid=1145593933?usp=sharing"",""1-12每月!$D13"")"),26242.0)</f>
        <v>26242</v>
      </c>
      <c r="AF13" s="83">
        <f>IFERROR(__xludf.DUMMYFUNCTION("IMPORTRANGE(""https://docs.google.com/spreadsheets/d/17hbKAHrpKLEbG3r9s1Ay3fOGzvOBzSu3Bn_CD4JNLhY/edit#gid=756408948?usp=sharing"",""1-12每月!$D13"")"),28595.0)</f>
        <v>28595</v>
      </c>
      <c r="AG13" s="83">
        <f>IFERROR(__xludf.DUMMYFUNCTION("IMPORTRANGE(""https://docs.google.com/spreadsheets/d/1qeecSCKZ78ENQrsyUYpSNZqvo0-Y-uuGKFA1F06yLEM/edit#gid=874445072?usp=sharing"",""1-12每月!$D13"")"),33005.0)</f>
        <v>33005</v>
      </c>
      <c r="AH13" s="83">
        <f>IFERROR(__xludf.DUMMYFUNCTION("IMPORTRANGE(""https://docs.google.com/spreadsheets/d/1BSX0y1fIKw9-3VTr627UzGVjwKe74kwBkuFnvlaueNo/edit#gid=1113655470"",""1-12每月!$D13"")"),8423.0)</f>
        <v>8423</v>
      </c>
      <c r="AI13" s="83">
        <f>IFERROR(__xludf.DUMMYFUNCTION("IMPORTRANGE(""https://docs.google.com/spreadsheets/d/1bQzlrSGiVqBrfQ6FKnw67vhBELFgthonryGzmQabVFQ/edit#gid=1015697053"",""1-12每月!$D13"")"),13424.0)</f>
        <v>13424</v>
      </c>
      <c r="AJ13" s="83">
        <f>IFERROR(__xludf.DUMMYFUNCTION("IMPORTRANGE(""https://docs.google.com/spreadsheets/d/1Pem-mgCz4CF6EUKNVxDQx16g9jie0F5YNDQ_cPnMHYs"",""1-12每月!$D13"")"),6883.0)</f>
        <v>6883</v>
      </c>
      <c r="AK13" s="83"/>
      <c r="AL13" s="83"/>
      <c r="AM13" s="115"/>
      <c r="AN13" s="115"/>
      <c r="AO13" s="115"/>
      <c r="AP13" s="115"/>
      <c r="AQ13" s="115"/>
      <c r="AR13" s="108"/>
    </row>
    <row r="14" ht="15.75" customHeight="1">
      <c r="A14" s="85">
        <v>10.0</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f>IFERROR(__xludf.DUMMYFUNCTION("IMPORTRANGE(""https://docs.google.com/spreadsheets/d/1ettcrhLPK6tkvHZxDTyU2bGIpGSi2ynG91ln0fqz9iE/edit#gid=1364213386?usp=sharing"",""1-12每月!$D14"")"),32263.0)</f>
        <v>32263</v>
      </c>
      <c r="AD14" s="83">
        <f>IFERROR(__xludf.DUMMYFUNCTION("IMPORTRANGE(""https://docs.google.com/spreadsheets/d/1xUhm-MtqzfUO8M5WEWVv9w2EFkv5_PHMOsAlA3CcCWU/edit#gid=1700470961?usp=sharing"",""1-12每月!$D14"")"),42646.0)</f>
        <v>42646</v>
      </c>
      <c r="AE14" s="83">
        <f>IFERROR(__xludf.DUMMYFUNCTION("IMPORTRANGE(""https://docs.google.com/spreadsheets/d/1DP8wl0QQLYSZ8R2aQ8wNmiAUXn7lVrqMsdTccpBmnQc/edit#gid=1145593933?usp=sharing"",""1-12每月!$D14"")"),31632.0)</f>
        <v>31632</v>
      </c>
      <c r="AF14" s="83">
        <f>IFERROR(__xludf.DUMMYFUNCTION("IMPORTRANGE(""https://docs.google.com/spreadsheets/d/17hbKAHrpKLEbG3r9s1Ay3fOGzvOBzSu3Bn_CD4JNLhY/edit#gid=756408948?usp=sharing"",""1-12每月!$D14"")"),42502.0)</f>
        <v>42502</v>
      </c>
      <c r="AG14" s="83">
        <f>IFERROR(__xludf.DUMMYFUNCTION("IMPORTRANGE(""https://docs.google.com/spreadsheets/d/1qeecSCKZ78ENQrsyUYpSNZqvo0-Y-uuGKFA1F06yLEM/edit#gid=874445072?usp=sharing"",""1-12每月!$D14"")"),49937.0)</f>
        <v>49937</v>
      </c>
      <c r="AH14" s="83">
        <f>IFERROR(__xludf.DUMMYFUNCTION("IMPORTRANGE(""https://docs.google.com/spreadsheets/d/1BSX0y1fIKw9-3VTr627UzGVjwKe74kwBkuFnvlaueNo/edit#gid=1113655470"",""1-12每月!$D14"")"),12437.0)</f>
        <v>12437</v>
      </c>
      <c r="AI14" s="83">
        <f>IFERROR(__xludf.DUMMYFUNCTION("IMPORTRANGE(""https://docs.google.com/spreadsheets/d/1bQzlrSGiVqBrfQ6FKnw67vhBELFgthonryGzmQabVFQ/edit#gid=1015697053"",""1-12每月!$D14"")"),10647.0)</f>
        <v>10647</v>
      </c>
      <c r="AJ14" s="83">
        <f>IFERROR(__xludf.DUMMYFUNCTION("IMPORTRANGE(""https://docs.google.com/spreadsheets/d/1Pem-mgCz4CF6EUKNVxDQx16g9jie0F5YNDQ_cPnMHYs"",""1-12每月!$D14"")"),7935.0)</f>
        <v>7935</v>
      </c>
      <c r="AK14" s="83"/>
      <c r="AL14" s="83"/>
      <c r="AM14" s="115"/>
      <c r="AN14" s="115"/>
      <c r="AO14" s="115"/>
      <c r="AP14" s="115"/>
      <c r="AQ14" s="115"/>
      <c r="AR14" s="108"/>
    </row>
    <row r="15" ht="15.75" customHeight="1">
      <c r="A15" s="85">
        <v>11.0</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f>IFERROR(__xludf.DUMMYFUNCTION("IMPORTRANGE(""https://docs.google.com/spreadsheets/d/1ettcrhLPK6tkvHZxDTyU2bGIpGSi2ynG91ln0fqz9iE/edit#gid=1364213386?usp=sharing"",""1-12每月!$D15"")"),41739.0)</f>
        <v>41739</v>
      </c>
      <c r="AD15" s="83">
        <f>IFERROR(__xludf.DUMMYFUNCTION("IMPORTRANGE(""https://docs.google.com/spreadsheets/d/1xUhm-MtqzfUO8M5WEWVv9w2EFkv5_PHMOsAlA3CcCWU/edit#gid=1700470961?usp=sharing"",""1-12每月!$D15"")"),36224.0)</f>
        <v>36224</v>
      </c>
      <c r="AE15" s="83">
        <f>IFERROR(__xludf.DUMMYFUNCTION("IMPORTRANGE(""https://docs.google.com/spreadsheets/d/1DP8wl0QQLYSZ8R2aQ8wNmiAUXn7lVrqMsdTccpBmnQc/edit#gid=1145593933?usp=sharing"",""1-12每月!$D15"")"),33008.0)</f>
        <v>33008</v>
      </c>
      <c r="AF15" s="83">
        <f>IFERROR(__xludf.DUMMYFUNCTION("IMPORTRANGE(""https://docs.google.com/spreadsheets/d/17hbKAHrpKLEbG3r9s1Ay3fOGzvOBzSu3Bn_CD4JNLhY/edit#gid=756408948?usp=sharing"",""1-12每月!$D15"")"),41038.880000000005)</f>
        <v>41038.88</v>
      </c>
      <c r="AG15" s="83">
        <f>IFERROR(__xludf.DUMMYFUNCTION("IMPORTRANGE(""https://docs.google.com/spreadsheets/d/1qeecSCKZ78ENQrsyUYpSNZqvo0-Y-uuGKFA1F06yLEM/edit#gid=874445072?usp=sharing"",""1-12每月!$D15"")"),36161.0)</f>
        <v>36161</v>
      </c>
      <c r="AH15" s="83">
        <f>IFERROR(__xludf.DUMMYFUNCTION("IMPORTRANGE(""https://docs.google.com/spreadsheets/d/1BSX0y1fIKw9-3VTr627UzGVjwKe74kwBkuFnvlaueNo/edit#gid=1113655470"",""1-12每月!$D15"")"),17687.0)</f>
        <v>17687</v>
      </c>
      <c r="AI15" s="83">
        <f>IFERROR(__xludf.DUMMYFUNCTION("IMPORTRANGE(""https://docs.google.com/spreadsheets/d/1bQzlrSGiVqBrfQ6FKnw67vhBELFgthonryGzmQabVFQ/edit#gid=1015697053"",""1-12每月!$D15"")"),19701.0)</f>
        <v>19701</v>
      </c>
      <c r="AJ15" s="83">
        <f>IFERROR(__xludf.DUMMYFUNCTION("IMPORTRANGE(""https://docs.google.com/spreadsheets/d/1Pem-mgCz4CF6EUKNVxDQx16g9jie0F5YNDQ_cPnMHYs"",""1-12每月!$D15"")"),11073.0)</f>
        <v>11073</v>
      </c>
      <c r="AK15" s="83"/>
      <c r="AL15" s="83"/>
      <c r="AM15" s="115"/>
      <c r="AN15" s="115"/>
      <c r="AO15" s="115"/>
      <c r="AP15" s="115"/>
      <c r="AQ15" s="115"/>
      <c r="AR15" s="108"/>
    </row>
    <row r="16" ht="15.75" customHeight="1">
      <c r="A16" s="85">
        <v>12.0</v>
      </c>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f>IFERROR(__xludf.DUMMYFUNCTION("IMPORTRANGE(""https://docs.google.com/spreadsheets/d/1ettcrhLPK6tkvHZxDTyU2bGIpGSi2ynG91ln0fqz9iE/edit#gid=1364213386?usp=sharing"",""1-12每月!$D16"")"),41547.0)</f>
        <v>41547</v>
      </c>
      <c r="AD16" s="83">
        <f>IFERROR(__xludf.DUMMYFUNCTION("IMPORTRANGE(""https://docs.google.com/spreadsheets/d/1xUhm-MtqzfUO8M5WEWVv9w2EFkv5_PHMOsAlA3CcCWU/edit#gid=1700470961?usp=sharing"",""1-12每月!$D16"")"),47461.0)</f>
        <v>47461</v>
      </c>
      <c r="AE16" s="83">
        <f>IFERROR(__xludf.DUMMYFUNCTION("IMPORTRANGE(""https://docs.google.com/spreadsheets/d/1DP8wl0QQLYSZ8R2aQ8wNmiAUXn7lVrqMsdTccpBmnQc/edit#gid=1145593933?usp=sharing"",""1-12每月!$D16"")"),52667.0)</f>
        <v>52667</v>
      </c>
      <c r="AF16" s="83">
        <f>IFERROR(__xludf.DUMMYFUNCTION("IMPORTRANGE(""https://docs.google.com/spreadsheets/d/17hbKAHrpKLEbG3r9s1Ay3fOGzvOBzSu3Bn_CD4JNLhY/edit#gid=756408948?usp=sharing"",""1-12每月!$D16"")"),38521.0)</f>
        <v>38521</v>
      </c>
      <c r="AG16" s="83">
        <f>IFERROR(__xludf.DUMMYFUNCTION("IMPORTRANGE(""https://docs.google.com/spreadsheets/d/1qeecSCKZ78ENQrsyUYpSNZqvo0-Y-uuGKFA1F06yLEM/edit#gid=874445072?usp=sharing"",""1-12每月!$D16"")"),38583.0)</f>
        <v>38583</v>
      </c>
      <c r="AH16" s="83">
        <f>IFERROR(__xludf.DUMMYFUNCTION("IMPORTRANGE(""https://docs.google.com/spreadsheets/d/1BSX0y1fIKw9-3VTr627UzGVjwKe74kwBkuFnvlaueNo/edit#gid=1113655470"",""1-12每月!$D16"")"),18863.0)</f>
        <v>18863</v>
      </c>
      <c r="AI16" s="83">
        <f>IFERROR(__xludf.DUMMYFUNCTION("IMPORTRANGE(""https://docs.google.com/spreadsheets/d/1bQzlrSGiVqBrfQ6FKnw67vhBELFgthonryGzmQabVFQ/edit#gid=1015697053"",""1-12每月!$D16"")"),76865.0)</f>
        <v>76865</v>
      </c>
      <c r="AJ16" s="83">
        <f>IFERROR(__xludf.DUMMYFUNCTION("IMPORTRANGE(""https://docs.google.com/spreadsheets/d/1Pem-mgCz4CF6EUKNVxDQx16g9jie0F5YNDQ_cPnMHYs"",""1-12每月!$D16"")"),11300.0)</f>
        <v>11300</v>
      </c>
      <c r="AK16" s="83"/>
      <c r="AL16" s="83"/>
      <c r="AM16" s="115"/>
      <c r="AN16" s="115"/>
      <c r="AO16" s="115"/>
      <c r="AP16" s="115"/>
      <c r="AQ16" s="115"/>
      <c r="AR16" s="108"/>
    </row>
    <row r="17" ht="15.75" customHeight="1">
      <c r="A17" s="86" t="s">
        <v>45</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f t="shared" ref="AC17:AR17" si="1">SUM(AC5:AC16)</f>
        <v>917453</v>
      </c>
      <c r="AD17" s="87">
        <f t="shared" si="1"/>
        <v>544049</v>
      </c>
      <c r="AE17" s="87">
        <f t="shared" si="1"/>
        <v>479039.4</v>
      </c>
      <c r="AF17" s="87">
        <f t="shared" si="1"/>
        <v>532220.8</v>
      </c>
      <c r="AG17" s="87">
        <f t="shared" si="1"/>
        <v>423660</v>
      </c>
      <c r="AH17" s="87">
        <f t="shared" si="1"/>
        <v>220589</v>
      </c>
      <c r="AI17" s="87">
        <f t="shared" si="1"/>
        <v>222891</v>
      </c>
      <c r="AJ17" s="87">
        <f t="shared" si="1"/>
        <v>156926</v>
      </c>
      <c r="AK17" s="87">
        <f t="shared" si="1"/>
        <v>0</v>
      </c>
      <c r="AL17" s="87">
        <f t="shared" si="1"/>
        <v>0</v>
      </c>
      <c r="AM17" s="87">
        <f t="shared" si="1"/>
        <v>0</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c r="O18" s="90"/>
      <c r="P18" s="90"/>
      <c r="Q18" s="90"/>
      <c r="R18" s="90"/>
      <c r="S18" s="90"/>
      <c r="T18" s="90"/>
      <c r="U18" s="90"/>
      <c r="V18" s="90"/>
      <c r="W18" s="90"/>
      <c r="X18" s="90"/>
      <c r="Y18" s="90"/>
      <c r="Z18" s="90"/>
      <c r="AA18" s="90"/>
      <c r="AB18" s="90"/>
      <c r="AC18" s="90"/>
      <c r="AD18" s="90">
        <f t="shared" ref="AD18:AR18" si="2">IF(AC17=0,0,(AD17-AC17)/AC17)</f>
        <v>-0.4070006856</v>
      </c>
      <c r="AE18" s="90">
        <f t="shared" si="2"/>
        <v>-0.1194921781</v>
      </c>
      <c r="AF18" s="90">
        <f t="shared" si="2"/>
        <v>0.1110167556</v>
      </c>
      <c r="AG18" s="90">
        <f t="shared" si="2"/>
        <v>-0.203976996</v>
      </c>
      <c r="AH18" s="90">
        <f t="shared" si="2"/>
        <v>-0.4793254024</v>
      </c>
      <c r="AI18" s="90">
        <f t="shared" si="2"/>
        <v>0.01043569716</v>
      </c>
      <c r="AJ18" s="90">
        <f t="shared" si="2"/>
        <v>-0.295951833</v>
      </c>
      <c r="AK18" s="90">
        <f t="shared" si="2"/>
        <v>-1</v>
      </c>
      <c r="AL18" s="90">
        <f t="shared" si="2"/>
        <v>0</v>
      </c>
      <c r="AM18" s="90">
        <f t="shared" si="2"/>
        <v>0</v>
      </c>
      <c r="AN18" s="90">
        <f t="shared" si="2"/>
        <v>0</v>
      </c>
      <c r="AO18" s="90">
        <f t="shared" si="2"/>
        <v>0</v>
      </c>
      <c r="AP18" s="90">
        <f t="shared" si="2"/>
        <v>0</v>
      </c>
      <c r="AQ18" s="90">
        <f t="shared" si="2"/>
        <v>0</v>
      </c>
      <c r="AR18" s="91">
        <f t="shared" si="2"/>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116</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110" t="s">
        <v>117</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118</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77" t="s">
        <v>105</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3">SUM(AD$5:AD$6)</f>
        <v>114802</v>
      </c>
      <c r="AE23" s="92">
        <f t="shared" si="3"/>
        <v>81884.45</v>
      </c>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4">SUM(AD$7:AD$11)</f>
        <v>212169</v>
      </c>
      <c r="AE24" s="92">
        <f t="shared" si="4"/>
        <v>211435.95</v>
      </c>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3" width="3.67"/>
    <col customWidth="1" hidden="1" min="14" max="23" width="3.67"/>
    <col customWidth="1" hidden="1" min="24" max="28" width="4.0"/>
    <col customWidth="1" hidden="1" min="29" max="33" width="9.11"/>
    <col customWidth="1" min="34" max="36" width="9.11"/>
    <col customWidth="1" min="37" max="37" width="10.44"/>
    <col customWidth="1" min="38" max="44" width="9.11"/>
  </cols>
  <sheetData>
    <row r="1" ht="15.75" customHeight="1">
      <c r="A1" s="113" t="s">
        <v>119</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120</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f>IFERROR(__xludf.DUMMYFUNCTION("IMPORTRANGE(""https://docs.google.com/spreadsheets/d/1ZoRtUl0m9T3TpY8H-9-ntNBO_zrYrgNKuAe_XfTeFnU"",""1-12每月!$D5"")"),140463.0)</f>
        <v>140463</v>
      </c>
      <c r="AL5" s="83">
        <f>IFERROR(__xludf.DUMMYFUNCTION("IMPORTRANGE(""https://docs.google.com/spreadsheets/d/1Y9Uv46r1nA3ixCGwTWZqhGQWDt4KVX4iXmhJgHL5CGQ"",""1-12每月!$D5"")"),171805.0)</f>
        <v>171805</v>
      </c>
      <c r="AM5" s="83">
        <f>IFERROR(__xludf.DUMMYFUNCTION("IMPORTRANGE(""https://docs.google.com/spreadsheets/d/1E3X732-CKfouAVQOwKyrePWwI1Bwg9NHD0VD42lyiu4/edit?gid=1513765949#gid=1513765949"",""1-12每月!$D5"")"),95261.0)</f>
        <v>95261</v>
      </c>
      <c r="AN5" s="114"/>
      <c r="AO5" s="114"/>
      <c r="AP5" s="114"/>
      <c r="AQ5" s="114"/>
      <c r="AR5" s="84"/>
    </row>
    <row r="6" ht="15.75" customHeight="1">
      <c r="A6" s="85">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f>IFERROR(__xludf.DUMMYFUNCTION("IMPORTRANGE(""https://docs.google.com/spreadsheets/d/1ZoRtUl0m9T3TpY8H-9-ntNBO_zrYrgNKuAe_XfTeFnU"",""1-12每月!$D6"")"),176379.0)</f>
        <v>176379</v>
      </c>
      <c r="AL6" s="83">
        <f>IFERROR(__xludf.DUMMYFUNCTION("IMPORTRANGE(""https://docs.google.com/spreadsheets/d/1Y9Uv46r1nA3ixCGwTWZqhGQWDt4KVX4iXmhJgHL5CGQ"",""1-12每月!$D6"")"),130895.0)</f>
        <v>130895</v>
      </c>
      <c r="AM6" s="83">
        <f>IFERROR(__xludf.DUMMYFUNCTION("IMPORTRANGE(""https://docs.google.com/spreadsheets/d/1E3X732-CKfouAVQOwKyrePWwI1Bwg9NHD0VD42lyiu4/edit?gid=1513765949#gid=1513765949"",""1-12每月!$D6"")"),117941.0)</f>
        <v>117941</v>
      </c>
      <c r="AN6" s="114"/>
      <c r="AO6" s="114"/>
      <c r="AP6" s="114"/>
      <c r="AQ6" s="114"/>
      <c r="AR6" s="84"/>
    </row>
    <row r="7" ht="15.75" customHeight="1">
      <c r="A7" s="85">
        <v>3.0</v>
      </c>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f>IFERROR(__xludf.DUMMYFUNCTION("IMPORTRANGE(""https://docs.google.com/spreadsheets/d/1ZoRtUl0m9T3TpY8H-9-ntNBO_zrYrgNKuAe_XfTeFnU"",""1-12每月!$D7"")"),132572.0)</f>
        <v>132572</v>
      </c>
      <c r="AL7" s="83">
        <f>IFERROR(__xludf.DUMMYFUNCTION("IMPORTRANGE(""https://docs.google.com/spreadsheets/d/1Y9Uv46r1nA3ixCGwTWZqhGQWDt4KVX4iXmhJgHL5CGQ"",""1-12每月!$D7"")"),150414.0)</f>
        <v>150414</v>
      </c>
      <c r="AM7" s="83">
        <f>IFERROR(__xludf.DUMMYFUNCTION("IMPORTRANGE(""https://docs.google.com/spreadsheets/d/1E3X732-CKfouAVQOwKyrePWwI1Bwg9NHD0VD42lyiu4/edit?gid=1513765949#gid=1513765949"",""1-12每月!$D7"")"),91180.0)</f>
        <v>91180</v>
      </c>
      <c r="AN7" s="114"/>
      <c r="AO7" s="114"/>
      <c r="AP7" s="114"/>
      <c r="AQ7" s="114"/>
      <c r="AR7" s="84"/>
    </row>
    <row r="8" ht="15.75" customHeight="1">
      <c r="A8" s="85">
        <v>4.0</v>
      </c>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f>IFERROR(__xludf.DUMMYFUNCTION("IMPORTRANGE(""https://docs.google.com/spreadsheets/d/1ZoRtUl0m9T3TpY8H-9-ntNBO_zrYrgNKuAe_XfTeFnU"",""1-12每月!$D8"")"),129427.0)</f>
        <v>129427</v>
      </c>
      <c r="AL8" s="83">
        <f>IFERROR(__xludf.DUMMYFUNCTION("IMPORTRANGE(""https://docs.google.com/spreadsheets/d/1Y9Uv46r1nA3ixCGwTWZqhGQWDt4KVX4iXmhJgHL5CGQ"",""1-12每月!$D8"")"),162093.0)</f>
        <v>162093</v>
      </c>
      <c r="AM8" s="83">
        <f>IFERROR(__xludf.DUMMYFUNCTION("IMPORTRANGE(""https://docs.google.com/spreadsheets/d/1E3X732-CKfouAVQOwKyrePWwI1Bwg9NHD0VD42lyiu4/edit?gid=1513765949#gid=1513765949"",""1-12每月!$D8"")"),105016.0)</f>
        <v>105016</v>
      </c>
      <c r="AN8" s="114"/>
      <c r="AO8" s="114"/>
      <c r="AP8" s="114"/>
      <c r="AQ8" s="114"/>
      <c r="AR8" s="84"/>
    </row>
    <row r="9" ht="15.75" customHeight="1">
      <c r="A9" s="85">
        <v>5.0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f>IFERROR(__xludf.DUMMYFUNCTION("IMPORTRANGE(""https://docs.google.com/spreadsheets/d/1ZoRtUl0m9T3TpY8H-9-ntNBO_zrYrgNKuAe_XfTeFnU"",""1-12每月!$D9"")"),121144.0)</f>
        <v>121144</v>
      </c>
      <c r="AL9" s="83">
        <f>IFERROR(__xludf.DUMMYFUNCTION("IMPORTRANGE(""https://docs.google.com/spreadsheets/d/1Y9Uv46r1nA3ixCGwTWZqhGQWDt4KVX4iXmhJgHL5CGQ"",""1-12每月!$D9"")"),152709.0)</f>
        <v>152709</v>
      </c>
      <c r="AM9" s="83">
        <f>IFERROR(__xludf.DUMMYFUNCTION("IMPORTRANGE(""https://docs.google.com/spreadsheets/d/1E3X732-CKfouAVQOwKyrePWwI1Bwg9NHD0VD42lyiu4/edit?gid=1513765949#gid=1513765949"",""1-12每月!$D9"")"),102654.0)</f>
        <v>102654</v>
      </c>
      <c r="AN9" s="114"/>
      <c r="AO9" s="114"/>
      <c r="AP9" s="114"/>
      <c r="AQ9" s="114"/>
      <c r="AR9" s="84"/>
    </row>
    <row r="10" ht="15.75" customHeight="1">
      <c r="A10" s="85">
        <v>6.0</v>
      </c>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f>IFERROR(__xludf.DUMMYFUNCTION("IMPORTRANGE(""https://docs.google.com/spreadsheets/d/1ZoRtUl0m9T3TpY8H-9-ntNBO_zrYrgNKuAe_XfTeFnU"",""1-12每月!$D10"")"),136818.0)</f>
        <v>136818</v>
      </c>
      <c r="AL10" s="83">
        <f>IFERROR(__xludf.DUMMYFUNCTION("IMPORTRANGE(""https://docs.google.com/spreadsheets/d/1Y9Uv46r1nA3ixCGwTWZqhGQWDt4KVX4iXmhJgHL5CGQ"",""1-12每月!$D10"")"),144510.0)</f>
        <v>144510</v>
      </c>
      <c r="AM10" s="83">
        <f>IFERROR(__xludf.DUMMYFUNCTION("IMPORTRANGE(""https://docs.google.com/spreadsheets/d/1E3X732-CKfouAVQOwKyrePWwI1Bwg9NHD0VD42lyiu4/edit?gid=1513765949#gid=1513765949"",""1-12每月!$D10"")"),92769.0)</f>
        <v>92769</v>
      </c>
      <c r="AN10" s="115"/>
      <c r="AO10" s="115"/>
      <c r="AP10" s="115"/>
      <c r="AQ10" s="115"/>
      <c r="AR10" s="108"/>
    </row>
    <row r="11" ht="15.75" customHeight="1">
      <c r="A11" s="85">
        <v>7.0</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f>IFERROR(__xludf.DUMMYFUNCTION("IMPORTRANGE(""https://docs.google.com/spreadsheets/d/1ZoRtUl0m9T3TpY8H-9-ntNBO_zrYrgNKuAe_XfTeFnU"",""1-12每月!$D11"")"),156988.0)</f>
        <v>156988</v>
      </c>
      <c r="AL11" s="83">
        <f>IFERROR(__xludf.DUMMYFUNCTION("IMPORTRANGE(""https://docs.google.com/spreadsheets/d/1Y9Uv46r1nA3ixCGwTWZqhGQWDt4KVX4iXmhJgHL5CGQ"",""1-12每月!$D11"")"),142633.0)</f>
        <v>142633</v>
      </c>
      <c r="AM11" s="83">
        <f>IFERROR(__xludf.DUMMYFUNCTION("IMPORTRANGE(""https://docs.google.com/spreadsheets/d/1E3X732-CKfouAVQOwKyrePWwI1Bwg9NHD0VD42lyiu4/edit?gid=1513765949#gid=1513765949"",""1-12每月!$D11"")"),0.0)</f>
        <v>0</v>
      </c>
      <c r="AN11" s="115"/>
      <c r="AO11" s="115"/>
      <c r="AP11" s="115"/>
      <c r="AQ11" s="115"/>
      <c r="AR11" s="108"/>
    </row>
    <row r="12" ht="15.75" customHeight="1">
      <c r="A12" s="85">
        <v>8.0</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f>IFERROR(__xludf.DUMMYFUNCTION("IMPORTRANGE(""https://docs.google.com/spreadsheets/d/1ZoRtUl0m9T3TpY8H-9-ntNBO_zrYrgNKuAe_XfTeFnU"",""1-12每月!$D12"")"),170472.0)</f>
        <v>170472</v>
      </c>
      <c r="AL12" s="83">
        <f>IFERROR(__xludf.DUMMYFUNCTION("IMPORTRANGE(""https://docs.google.com/spreadsheets/d/1Y9Uv46r1nA3ixCGwTWZqhGQWDt4KVX4iXmhJgHL5CGQ"",""1-12每月!$D12"")"),174478.0)</f>
        <v>174478</v>
      </c>
      <c r="AM12" s="83">
        <f>IFERROR(__xludf.DUMMYFUNCTION("IMPORTRANGE(""https://docs.google.com/spreadsheets/d/1E3X732-CKfouAVQOwKyrePWwI1Bwg9NHD0VD42lyiu4/edit?gid=1513765949#gid=1513765949"",""1-12每月!$D12"")"),0.0)</f>
        <v>0</v>
      </c>
      <c r="AN12" s="115"/>
      <c r="AO12" s="115"/>
      <c r="AP12" s="115"/>
      <c r="AQ12" s="115"/>
      <c r="AR12" s="108"/>
    </row>
    <row r="13" ht="15.75" customHeight="1">
      <c r="A13" s="85">
        <v>9.0</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f>IFERROR(__xludf.DUMMYFUNCTION("IMPORTRANGE(""https://docs.google.com/spreadsheets/d/1ZoRtUl0m9T3TpY8H-9-ntNBO_zrYrgNKuAe_XfTeFnU"",""1-12每月!$D13"")"),131612.0)</f>
        <v>131612</v>
      </c>
      <c r="AL13" s="83">
        <f>IFERROR(__xludf.DUMMYFUNCTION("IMPORTRANGE(""https://docs.google.com/spreadsheets/d/1Y9Uv46r1nA3ixCGwTWZqhGQWDt4KVX4iXmhJgHL5CGQ"",""1-12每月!$D13"")"),132730.0)</f>
        <v>132730</v>
      </c>
      <c r="AM13" s="83">
        <f>IFERROR(__xludf.DUMMYFUNCTION("IMPORTRANGE(""https://docs.google.com/spreadsheets/d/1E3X732-CKfouAVQOwKyrePWwI1Bwg9NHD0VD42lyiu4/edit?gid=1513765949#gid=1513765949"",""1-12每月!$D13"")"),0.0)</f>
        <v>0</v>
      </c>
      <c r="AN13" s="115"/>
      <c r="AO13" s="115"/>
      <c r="AP13" s="115"/>
      <c r="AQ13" s="115"/>
      <c r="AR13" s="108"/>
    </row>
    <row r="14" ht="15.75" customHeight="1">
      <c r="A14" s="85">
        <v>10.0</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f>IFERROR(__xludf.DUMMYFUNCTION("IMPORTRANGE(""https://docs.google.com/spreadsheets/d/1ZoRtUl0m9T3TpY8H-9-ntNBO_zrYrgNKuAe_XfTeFnU"",""1-12每月!$D14"")"),125006.0)</f>
        <v>125006</v>
      </c>
      <c r="AL14" s="83">
        <f>IFERROR(__xludf.DUMMYFUNCTION("IMPORTRANGE(""https://docs.google.com/spreadsheets/d/1Y9Uv46r1nA3ixCGwTWZqhGQWDt4KVX4iXmhJgHL5CGQ"",""1-12每月!$D14"")"),158780.0)</f>
        <v>158780</v>
      </c>
      <c r="AM14" s="83">
        <f>IFERROR(__xludf.DUMMYFUNCTION("IMPORTRANGE(""https://docs.google.com/spreadsheets/d/1E3X732-CKfouAVQOwKyrePWwI1Bwg9NHD0VD42lyiu4/edit?gid=1513765949#gid=1513765949"",""1-12每月!$D14"")"),0.0)</f>
        <v>0</v>
      </c>
      <c r="AN14" s="115"/>
      <c r="AO14" s="115"/>
      <c r="AP14" s="115"/>
      <c r="AQ14" s="115"/>
      <c r="AR14" s="108"/>
    </row>
    <row r="15" ht="15.75" customHeight="1">
      <c r="A15" s="85">
        <v>11.0</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f>IFERROR(__xludf.DUMMYFUNCTION("IMPORTRANGE(""https://docs.google.com/spreadsheets/d/1ZoRtUl0m9T3TpY8H-9-ntNBO_zrYrgNKuAe_XfTeFnU"",""1-12每月!$D15"")"),146451.0)</f>
        <v>146451</v>
      </c>
      <c r="AL15" s="83">
        <f>IFERROR(__xludf.DUMMYFUNCTION("IMPORTRANGE(""https://docs.google.com/spreadsheets/d/1Y9Uv46r1nA3ixCGwTWZqhGQWDt4KVX4iXmhJgHL5CGQ"",""1-12每月!$D15"")"),140410.0)</f>
        <v>140410</v>
      </c>
      <c r="AM15" s="83">
        <f>IFERROR(__xludf.DUMMYFUNCTION("IMPORTRANGE(""https://docs.google.com/spreadsheets/d/1E3X732-CKfouAVQOwKyrePWwI1Bwg9NHD0VD42lyiu4/edit?gid=1513765949#gid=1513765949"",""1-12每月!$D15"")"),0.0)</f>
        <v>0</v>
      </c>
      <c r="AN15" s="115"/>
      <c r="AO15" s="115"/>
      <c r="AP15" s="115"/>
      <c r="AQ15" s="115"/>
      <c r="AR15" s="108"/>
    </row>
    <row r="16" ht="15.75" customHeight="1">
      <c r="A16" s="85">
        <v>12.0</v>
      </c>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f>IFERROR(__xludf.DUMMYFUNCTION("IMPORTRANGE(""https://docs.google.com/spreadsheets/d/1ZoRtUl0m9T3TpY8H-9-ntNBO_zrYrgNKuAe_XfTeFnU"",""1-12每月!$D16"")"),139808.0)</f>
        <v>139808</v>
      </c>
      <c r="AL16" s="83">
        <f>IFERROR(__xludf.DUMMYFUNCTION("IMPORTRANGE(""https://docs.google.com/spreadsheets/d/1Y9Uv46r1nA3ixCGwTWZqhGQWDt4KVX4iXmhJgHL5CGQ"",""1-12每月!$D16"")"),146918.0)</f>
        <v>146918</v>
      </c>
      <c r="AM16" s="83">
        <f>IFERROR(__xludf.DUMMYFUNCTION("IMPORTRANGE(""https://docs.google.com/spreadsheets/d/1E3X732-CKfouAVQOwKyrePWwI1Bwg9NHD0VD42lyiu4/edit?gid=1513765949#gid=1513765949"",""1-12每月!$D16"")"),0.0)</f>
        <v>0</v>
      </c>
      <c r="AN16" s="115"/>
      <c r="AO16" s="115"/>
      <c r="AP16" s="115"/>
      <c r="AQ16" s="115"/>
      <c r="AR16" s="108"/>
    </row>
    <row r="17" ht="15.75" customHeight="1">
      <c r="A17" s="86" t="s">
        <v>45</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f t="shared" ref="AC17:AR17" si="1">SUM(AC5:AC16)</f>
        <v>0</v>
      </c>
      <c r="AD17" s="87">
        <f t="shared" si="1"/>
        <v>0</v>
      </c>
      <c r="AE17" s="87">
        <f t="shared" si="1"/>
        <v>0</v>
      </c>
      <c r="AF17" s="87">
        <f t="shared" si="1"/>
        <v>0</v>
      </c>
      <c r="AG17" s="87">
        <f t="shared" si="1"/>
        <v>0</v>
      </c>
      <c r="AH17" s="87">
        <f t="shared" si="1"/>
        <v>0</v>
      </c>
      <c r="AI17" s="87">
        <f t="shared" si="1"/>
        <v>0</v>
      </c>
      <c r="AJ17" s="87">
        <f t="shared" si="1"/>
        <v>0</v>
      </c>
      <c r="AK17" s="87">
        <f t="shared" si="1"/>
        <v>1707140</v>
      </c>
      <c r="AL17" s="87">
        <f t="shared" si="1"/>
        <v>1808375</v>
      </c>
      <c r="AM17" s="87">
        <f t="shared" si="1"/>
        <v>604821</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c r="O18" s="90"/>
      <c r="P18" s="90"/>
      <c r="Q18" s="90"/>
      <c r="R18" s="90"/>
      <c r="S18" s="90"/>
      <c r="T18" s="90"/>
      <c r="U18" s="90"/>
      <c r="V18" s="90"/>
      <c r="W18" s="90"/>
      <c r="X18" s="90"/>
      <c r="Y18" s="90"/>
      <c r="Z18" s="90"/>
      <c r="AA18" s="90"/>
      <c r="AB18" s="90"/>
      <c r="AC18" s="90"/>
      <c r="AD18" s="90">
        <f t="shared" ref="AD18:AR18" si="2">IF(AC17=0,0,(AD17-AC17)/AC17)</f>
        <v>0</v>
      </c>
      <c r="AE18" s="90">
        <f t="shared" si="2"/>
        <v>0</v>
      </c>
      <c r="AF18" s="90">
        <f t="shared" si="2"/>
        <v>0</v>
      </c>
      <c r="AG18" s="90">
        <f t="shared" si="2"/>
        <v>0</v>
      </c>
      <c r="AH18" s="90">
        <f t="shared" si="2"/>
        <v>0</v>
      </c>
      <c r="AI18" s="90">
        <f t="shared" si="2"/>
        <v>0</v>
      </c>
      <c r="AJ18" s="90">
        <f t="shared" si="2"/>
        <v>0</v>
      </c>
      <c r="AK18" s="90">
        <f t="shared" si="2"/>
        <v>0</v>
      </c>
      <c r="AL18" s="90">
        <f t="shared" si="2"/>
        <v>0.05930093607</v>
      </c>
      <c r="AM18" s="90">
        <f t="shared" si="2"/>
        <v>-0.6655444805</v>
      </c>
      <c r="AN18" s="90">
        <f t="shared" si="2"/>
        <v>-1</v>
      </c>
      <c r="AO18" s="90">
        <f t="shared" si="2"/>
        <v>0</v>
      </c>
      <c r="AP18" s="90">
        <f t="shared" si="2"/>
        <v>0</v>
      </c>
      <c r="AQ18" s="90">
        <f t="shared" si="2"/>
        <v>0</v>
      </c>
      <c r="AR18" s="91">
        <f t="shared" si="2"/>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110" t="s">
        <v>121</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77"/>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77" t="s">
        <v>105</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77" t="s">
        <v>105</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3">SUM(AD$5:AD$6)</f>
        <v>0</v>
      </c>
      <c r="AE23" s="92">
        <f t="shared" si="3"/>
        <v>0</v>
      </c>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4">SUM(AD$7:AD$11)</f>
        <v>0</v>
      </c>
      <c r="AE24" s="92">
        <f t="shared" si="4"/>
        <v>0</v>
      </c>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2" width="3.67"/>
    <col customWidth="1" hidden="1" min="13" max="13" width="9.11"/>
    <col customWidth="1" hidden="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4" width="9.11"/>
  </cols>
  <sheetData>
    <row r="1" ht="15.75" customHeight="1">
      <c r="A1" s="113" t="s">
        <v>122</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123</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IFERROR(__xludf.DUMMYFUNCTION("IMPORTRANGE(""https://docs.google.com/spreadsheets/d/1dffLfsI-BGVz-K0zdrsWfGaqrFfoLJAhq001merp6Rk/edit?usp=sharing"",""1-12每月!$H5"")"),4667.0)</f>
        <v>4667</v>
      </c>
      <c r="N5" s="83">
        <f>IFERROR(__xludf.DUMMYFUNCTION("IMPORTRANGE(""https://docs.google.com/spreadsheets/d/1SzxpZPUDnwxS8mSOLGEH5NbWU7ZW_VcRmIn7psOvuTs/edit#gid=1650312294?usp=sharing"",""1-12每月!$H5"")"),2757.0)</f>
        <v>2757</v>
      </c>
      <c r="O5" s="83">
        <f>IFERROR(__xludf.DUMMYFUNCTION("IMPORTRANGE(""https://docs.google.com/spreadsheets/d/1ta9i7cAkOPF0LapwmU_YEDA4IPQvKNuaYVMY8vIVPwI/edit#gid=1607741572?usp=sharing"",""1-12每月!$H5"")"),6740.0)</f>
        <v>6740</v>
      </c>
      <c r="P5" s="83">
        <f>IFERROR(__xludf.DUMMYFUNCTION("IMPORTRANGE(""https://docs.google.com/spreadsheets/d/1f4WWQfcNBonYqfzcaBhJlHzPwh34sx4U6naz-Aw2G4I/edit#gid=2097425894?usp=sharing"",""1-12每月!$E5"")"),5075.0)</f>
        <v>5075</v>
      </c>
      <c r="Q5" s="83">
        <f>IFERROR(__xludf.DUMMYFUNCTION("IMPORTRANGE(""https://docs.google.com/spreadsheets/d/1pCmmgCj7Y_SQPZLsiVd3yvND9oLyryVfBwNxC6OUwm8/edit#gid=170549058?usp=sharing"",""1-12每月!$E5"")"),7559.0)</f>
        <v>7559</v>
      </c>
      <c r="R5" s="83">
        <f>IFERROR(__xludf.DUMMYFUNCTION("IMPORTRANGE(""https://docs.google.com/spreadsheets/d/1hrRqxxacrLITR_JGMRVbhSRCIZIU8gAv0o_aOkHz68M/edit#gid=763155734?usp=sharing"",""1-12每月!$E5"")"),15003.0)</f>
        <v>15003</v>
      </c>
      <c r="S5" s="83">
        <f>IFERROR(__xludf.DUMMYFUNCTION("IMPORTRANGE(""https://docs.google.com/spreadsheets/d/1AKS3XWcgwNLFRbGU-lJ3UBHDQNdglvKwrv4_Bpp1IjU/edit#gid=73116376?usp=sharing"",""1-12每月!$D5"")"),12815.0)</f>
        <v>12815</v>
      </c>
      <c r="T5" s="83">
        <f>IFERROR(__xludf.DUMMYFUNCTION("IMPORTRANGE(""https://docs.google.com/spreadsheets/d/1wGGXGHkWT5JsjUDTy4FnHN_O9ae4MADbMykqIWVThNc/edit#gid=297806252"",""1-12每月!$D5"")"),5348.0)</f>
        <v>5348</v>
      </c>
      <c r="U5" s="83">
        <f>IFERROR(__xludf.DUMMYFUNCTION("IMPORTRANGE(""https://docs.google.com/spreadsheets/d/1ShTgtQQDjMKpYx-TJ_lwdxnWSzJNUcNnzR3fJjoaZec/edit#gid=66107904"",""1-12每月!$D5"")"),3464.0)</f>
        <v>3464</v>
      </c>
      <c r="V5" s="83">
        <f>IFERROR(__xludf.DUMMYFUNCTION("IMPORTRANGE(""https://docs.google.com/spreadsheets/d/1_eyuyKbXFCJd6fVFEKQwugwYCbRCmmWN_M7XR1dtOb8/edit#gid=951918895"",""1-12每月!$D5"")"),12591.0)</f>
        <v>12591</v>
      </c>
      <c r="W5" s="83">
        <f>IFERROR(__xludf.DUMMYFUNCTION("IMPORTRANGE(""https://docs.google.com/spreadsheets/d/1yEpHI9_Y4w8sRmPP9C-mYK4NMfVuTJifGLMj4FMdqek/edit#gid=799087919"",""1-12每月!$D5"")"),4612.0)</f>
        <v>4612</v>
      </c>
      <c r="X5" s="83">
        <f>IFERROR(__xludf.DUMMYFUNCTION("IMPORTRANGE(""https://docs.google.com/spreadsheets/d/1Vbyb9GlrY6jOwvoGyZFB96f7WXYjkT6gvTE37DPDXDI/edit#gid=9591526"",""1-12每月!$D5"")"),4266.0)</f>
        <v>4266</v>
      </c>
      <c r="Y5" s="83">
        <f>IFERROR(__xludf.DUMMYFUNCTION("IMPORTRANGE(""https://docs.google.com/spreadsheets/d/1qeckoJwzWQAg8zQ80D-QJP4pnVYH6l2juaUyHtOu6y8/edit#gid=1905704096"",""1-12每月!$D5"")"),12964.0)</f>
        <v>12964</v>
      </c>
      <c r="Z5" s="83">
        <f>IFERROR(__xludf.DUMMYFUNCTION("IMPORTRANGE(""https://docs.google.com/spreadsheets/d/1BcbIi7AD1VDpy_wMQ0YjCG-iuQy0_tkCVqr72a0Pwbg/edit#gid=1099513714"",""1-12每月!$D5"")"),0.0)</f>
        <v>0</v>
      </c>
      <c r="AA5" s="83">
        <f>IFERROR(__xludf.DUMMYFUNCTION("IMPORTRANGE(""https://docs.google.com/spreadsheets/d/1cIFCQPaYiOmIt2O3vkEx5eto8sfRtx3JtAWJ1fv31HI/edit#gid=432689709"",""1-12每月!$D5"")"),7819.0)</f>
        <v>7819</v>
      </c>
      <c r="AB5" s="83">
        <f>IFERROR(__xludf.DUMMYFUNCTION("IMPORTRANGE(""https://docs.google.com/spreadsheets/d/1C8ECYlbes2CJkHHGOAyOYVfrP7PdlGr8RMjK7KZd0_o/edit#gid=495469277"",""1-12每月!$D5"")"),11057.0)</f>
        <v>11057</v>
      </c>
      <c r="AC5" s="83">
        <f>IFERROR(__xludf.DUMMYFUNCTION("IMPORTRANGE(""https://docs.google.com/spreadsheets/d/1ettcrhLPK6tkvHZxDTyU2bGIpGSi2ynG91ln0fqz9iE/edit#gid=1364213386"",""1-12每月!$E5"")"),7182.0)</f>
        <v>7182</v>
      </c>
      <c r="AD5" s="83">
        <f>IFERROR(__xludf.DUMMYFUNCTION("IMPORTRANGE(""https://docs.google.com/spreadsheets/d/1xUhm-MtqzfUO8M5WEWVv9w2EFkv5_PHMOsAlA3CcCWU/edit#gid=1700470961"",""1-12每月!$E5"")"),10879.0)</f>
        <v>10879</v>
      </c>
      <c r="AE5" s="83">
        <f>IFERROR(__xludf.DUMMYFUNCTION("IMPORTRANGE(""https://docs.google.com/spreadsheets/d/1DP8wl0QQLYSZ8R2aQ8wNmiAUXn7lVrqMsdTccpBmnQc/edit#gid=1145593933"",""1-12每月!$E5"")"),5718.0)</f>
        <v>5718</v>
      </c>
      <c r="AF5" s="83">
        <f>IFERROR(__xludf.DUMMYFUNCTION("IMPORTRANGE(""https://docs.google.com/spreadsheets/d/17hbKAHrpKLEbG3r9s1Ay3fOGzvOBzSu3Bn_CD4JNLhY/edit#gid=756408948"",""1-12每月!$E5"")"),0.0)</f>
        <v>0</v>
      </c>
      <c r="AG5" s="83">
        <f>IFERROR(__xludf.DUMMYFUNCTION("IMPORTRANGE(""https://docs.google.com/spreadsheets/d/1qeecSCKZ78ENQrsyUYpSNZqvo0-Y-uuGKFA1F06yLEM/edit#gid=874445072"",""1-12每月!$E5"")"),39752.0)</f>
        <v>39752</v>
      </c>
      <c r="AH5" s="83">
        <f>IFERROR(__xludf.DUMMYFUNCTION("IMPORTRANGE(""https://docs.google.com/spreadsheets/d/1BSX0y1fIKw9-3VTr627UzGVjwKe74kwBkuFnvlaueNo/edit#gid=1113655470"",""1-12每月!$E5"")"),51589.0)</f>
        <v>51589</v>
      </c>
      <c r="AI5" s="83">
        <f>IFERROR(__xludf.DUMMYFUNCTION("IMPORTRANGE(""https://docs.google.com/spreadsheets/d/1bQzlrSGiVqBrfQ6FKnw67vhBELFgthonryGzmQabVFQ/edit#gid=1015697053"",""1-12每月!$E5"")"),20461.0)</f>
        <v>20461</v>
      </c>
      <c r="AJ5" s="83">
        <f>IFERROR(__xludf.DUMMYFUNCTION("IMPORTRANGE(""https://docs.google.com/spreadsheets/d/1Pem-mgCz4CF6EUKNVxDQx16g9jie0F5YNDQ_cPnMHYs"",""1-12每月!$E5"")"),30024.0)</f>
        <v>30024</v>
      </c>
      <c r="AK5" s="83">
        <f>IFERROR(__xludf.DUMMYFUNCTION("IMPORTRANGE(""https://docs.google.com/spreadsheets/d/1ZoRtUl0m9T3TpY8H-9-ntNBO_zrYrgNKuAe_XfTeFnU"",""1-12每月!$E5"")"),12174.0)</f>
        <v>12174</v>
      </c>
      <c r="AL5" s="83">
        <f>IFERROR(__xludf.DUMMYFUNCTION("IMPORTRANGE(""https://docs.google.com/spreadsheets/d/1Y9Uv46r1nA3ixCGwTWZqhGQWDt4KVX4iXmhJgHL5CGQ"",""1-12每月!$E5"")"),15605.0)</f>
        <v>15605</v>
      </c>
      <c r="AM5" s="83">
        <f>IFERROR(__xludf.DUMMYFUNCTION("IMPORTRANGE(""https://docs.google.com/spreadsheets/d/1E3X732-CKfouAVQOwKyrePWwI1Bwg9NHD0VD42lyiu4/edit?gid=1513765949#gid=1513765949"",""1-12每月!$E5"")"),12917.0)</f>
        <v>12917</v>
      </c>
      <c r="AN5" s="114"/>
      <c r="AO5" s="114"/>
      <c r="AP5" s="114"/>
      <c r="AQ5" s="114"/>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IFERROR(__xludf.DUMMYFUNCTION("IMPORTRANGE(""https://docs.google.com/spreadsheets/d/1dffLfsI-BGVz-K0zdrsWfGaqrFfoLJAhq001merp6Rk/edit?usp=sharing"",""1-12每月!$H6"")"),12217.0)</f>
        <v>12217</v>
      </c>
      <c r="N6" s="83">
        <f>IFERROR(__xludf.DUMMYFUNCTION("IMPORTRANGE(""https://docs.google.com/spreadsheets/d/1SzxpZPUDnwxS8mSOLGEH5NbWU7ZW_VcRmIn7psOvuTs/edit#gid=1650312294?usp=sharing"",""1-12每月!$H6"")"),6261.0)</f>
        <v>6261</v>
      </c>
      <c r="O6" s="83">
        <f>IFERROR(__xludf.DUMMYFUNCTION("IMPORTRANGE(""https://docs.google.com/spreadsheets/d/1ta9i7cAkOPF0LapwmU_YEDA4IPQvKNuaYVMY8vIVPwI/edit#gid=1607741572?usp=sharing"",""1-12每月!$H6"")"),17650.0)</f>
        <v>17650</v>
      </c>
      <c r="P6" s="83">
        <f>IFERROR(__xludf.DUMMYFUNCTION("IMPORTRANGE(""https://docs.google.com/spreadsheets/d/1f4WWQfcNBonYqfzcaBhJlHzPwh34sx4U6naz-Aw2G4I/edit#gid=2097425894?usp=sharing"",""1-12每月!$E6"")"),12291.0)</f>
        <v>12291</v>
      </c>
      <c r="Q6" s="83">
        <f>IFERROR(__xludf.DUMMYFUNCTION("IMPORTRANGE(""https://docs.google.com/spreadsheets/d/1pCmmgCj7Y_SQPZLsiVd3yvND9oLyryVfBwNxC6OUwm8/edit#gid=170549058?usp=sharing"",""1-12每月!$E6"")"),6003.0)</f>
        <v>6003</v>
      </c>
      <c r="R6" s="83">
        <f>IFERROR(__xludf.DUMMYFUNCTION("IMPORTRANGE(""https://docs.google.com/spreadsheets/d/1hrRqxxacrLITR_JGMRVbhSRCIZIU8gAv0o_aOkHz68M/edit#gid=763155734?usp=sharing"",""1-12每月!$E6"")"),19312.0)</f>
        <v>19312</v>
      </c>
      <c r="S6" s="83">
        <f>IFERROR(__xludf.DUMMYFUNCTION("IMPORTRANGE(""https://docs.google.com/spreadsheets/d/1AKS3XWcgwNLFRbGU-lJ3UBHDQNdglvKwrv4_Bpp1IjU/edit#gid=73116376?usp=sharing"",""1-12每月!$D6"")"),17212.0)</f>
        <v>17212</v>
      </c>
      <c r="T6" s="83">
        <f>IFERROR(__xludf.DUMMYFUNCTION("IMPORTRANGE(""https://docs.google.com/spreadsheets/d/1wGGXGHkWT5JsjUDTy4FnHN_O9ae4MADbMykqIWVThNc/edit#gid=297806252?usp=sharing"",""1-12每月!$D6"")"),14162.0)</f>
        <v>14162</v>
      </c>
      <c r="U6" s="83">
        <f>IFERROR(__xludf.DUMMYFUNCTION("IMPORTRANGE(""https://docs.google.com/spreadsheets/d/1ShTgtQQDjMKpYx-TJ_lwdxnWSzJNUcNnzR3fJjoaZec/edit#gid=66107904?usp=sharing"",""1-12每月!$D6"")"),7094.0)</f>
        <v>7094</v>
      </c>
      <c r="V6" s="83">
        <f>IFERROR(__xludf.DUMMYFUNCTION("IMPORTRANGE(""https://docs.google.com/spreadsheets/d/1_eyuyKbXFCJd6fVFEKQwugwYCbRCmmWN_M7XR1dtOb8/edit#gid=951918895?usp=sharing"",""1-12每月!$D6"")"),6346.0)</f>
        <v>6346</v>
      </c>
      <c r="W6" s="83">
        <f>IFERROR(__xludf.DUMMYFUNCTION("IMPORTRANGE(""https://docs.google.com/spreadsheets/d/1yEpHI9_Y4w8sRmPP9C-mYK4NMfVuTJifGLMj4FMdqek/edit#gid=799087919?usp=sharing"",""1-12每月!$D6"")"),10272.0)</f>
        <v>10272</v>
      </c>
      <c r="X6" s="83">
        <f>IFERROR(__xludf.DUMMYFUNCTION("IMPORTRANGE(""https://docs.google.com/spreadsheets/d/1Vbyb9GlrY6jOwvoGyZFB96f7WXYjkT6gvTE37DPDXDI/edit#gid=9591526?usp=sharing"",""1-12每月!$D6"")"),9665.0)</f>
        <v>9665</v>
      </c>
      <c r="Y6" s="83">
        <f>IFERROR(__xludf.DUMMYFUNCTION("IMPORTRANGE(""https://docs.google.com/spreadsheets/d/1qeckoJwzWQAg8zQ80D-QJP4pnVYH6l2juaUyHtOu6y8/edit#gid=1905704096?usp=sharing"",""1-12每月!$D6"")"),7693.0)</f>
        <v>7693</v>
      </c>
      <c r="Z6" s="83">
        <f>IFERROR(__xludf.DUMMYFUNCTION("IMPORTRANGE(""https://docs.google.com/spreadsheets/d/1BcbIi7AD1VDpy_wMQ0YjCG-iuQy0_tkCVqr72a0Pwbg/edit#gid=1099513714?usp=sharing"",""1-12每月!$D6"")"),0.0)</f>
        <v>0</v>
      </c>
      <c r="AA6" s="83">
        <f>IFERROR(__xludf.DUMMYFUNCTION("IMPORTRANGE(""https://docs.google.com/spreadsheets/d/1cIFCQPaYiOmIt2O3vkEx5eto8sfRtx3JtAWJ1fv31HI/edit#gid=432689709?usp=sharing"",""1-12每月!$D6"")"),13131.0)</f>
        <v>13131</v>
      </c>
      <c r="AB6" s="83">
        <f>IFERROR(__xludf.DUMMYFUNCTION("IMPORTRANGE(""https://docs.google.com/spreadsheets/d/1C8ECYlbes2CJkHHGOAyOYVfrP7PdlGr8RMjK7KZd0_o/edit#gid=495469277?usp=sharing"",""1-12每月!$D6"")"),13033.0)</f>
        <v>13033</v>
      </c>
      <c r="AC6" s="83">
        <f>IFERROR(__xludf.DUMMYFUNCTION("IMPORTRANGE(""https://docs.google.com/spreadsheets/d/1ettcrhLPK6tkvHZxDTyU2bGIpGSi2ynG91ln0fqz9iE/edit#gid=1364213386?usp=sharing"",""1-12每月!$E6"")"),12422.0)</f>
        <v>12422</v>
      </c>
      <c r="AD6" s="83">
        <f>IFERROR(__xludf.DUMMYFUNCTION("IMPORTRANGE(""https://docs.google.com/spreadsheets/d/1xUhm-MtqzfUO8M5WEWVv9w2EFkv5_PHMOsAlA3CcCWU/edit#gid=1700470961?usp=sharing"",""1-12每月!$E6"")"),11485.0)</f>
        <v>11485</v>
      </c>
      <c r="AE6" s="83">
        <f>IFERROR(__xludf.DUMMYFUNCTION("IMPORTRANGE(""https://docs.google.com/spreadsheets/d/1DP8wl0QQLYSZ8R2aQ8wNmiAUXn7lVrqMsdTccpBmnQc/edit#gid=1145593933?usp=sharing"",""1-12每月!$E6"")"),9215.0)</f>
        <v>9215</v>
      </c>
      <c r="AF6" s="83">
        <f>IFERROR(__xludf.DUMMYFUNCTION("IMPORTRANGE(""https://docs.google.com/spreadsheets/d/17hbKAHrpKLEbG3r9s1Ay3fOGzvOBzSu3Bn_CD4JNLhY/edit#gid=756408948?usp=sharing"",""1-12每月!$E6"")"),0.0)</f>
        <v>0</v>
      </c>
      <c r="AG6" s="83">
        <f>IFERROR(__xludf.DUMMYFUNCTION("IMPORTRANGE(""https://docs.google.com/spreadsheets/d/1qeecSCKZ78ENQrsyUYpSNZqvo0-Y-uuGKFA1F06yLEM/edit#gid=874445072?usp=sharing"",""1-12每月!$E6"")"),34824.0)</f>
        <v>34824</v>
      </c>
      <c r="AH6" s="83">
        <f>IFERROR(__xludf.DUMMYFUNCTION("IMPORTRANGE(""https://docs.google.com/spreadsheets/d/1BSX0y1fIKw9-3VTr627UzGVjwKe74kwBkuFnvlaueNo/edit#gid=1113655470"",""1-12每月!$E6"")"),39895.0)</f>
        <v>39895</v>
      </c>
      <c r="AI6" s="83">
        <f>IFERROR(__xludf.DUMMYFUNCTION("IMPORTRANGE(""https://docs.google.com/spreadsheets/d/1bQzlrSGiVqBrfQ6FKnw67vhBELFgthonryGzmQabVFQ/edit#gid=1015697053?usp=sharing"",""1-12每月!$E6"")"),18940.0)</f>
        <v>18940</v>
      </c>
      <c r="AJ6" s="83">
        <f>IFERROR(__xludf.DUMMYFUNCTION("IMPORTRANGE(""https://docs.google.com/spreadsheets/d/1Pem-mgCz4CF6EUKNVxDQx16g9jie0F5YNDQ_cPnMHYs"",""1-12每月!$E6"")"),21689.0)</f>
        <v>21689</v>
      </c>
      <c r="AK6" s="83">
        <f>IFERROR(__xludf.DUMMYFUNCTION("IMPORTRANGE(""https://docs.google.com/spreadsheets/d/1ZoRtUl0m9T3TpY8H-9-ntNBO_zrYrgNKuAe_XfTeFnU"",""1-12每月!$E6"")"),16733.0)</f>
        <v>16733</v>
      </c>
      <c r="AL6" s="83">
        <f>IFERROR(__xludf.DUMMYFUNCTION("IMPORTRANGE(""https://docs.google.com/spreadsheets/d/1Y9Uv46r1nA3ixCGwTWZqhGQWDt4KVX4iXmhJgHL5CGQ"",""1-12每月!$E6"")"),12177.0)</f>
        <v>12177</v>
      </c>
      <c r="AM6" s="83">
        <f>IFERROR(__xludf.DUMMYFUNCTION("IMPORTRANGE(""https://docs.google.com/spreadsheets/d/1E3X732-CKfouAVQOwKyrePWwI1Bwg9NHD0VD42lyiu4/edit?gid=1513765949#gid=1513765949"",""1-12每月!$E6"")"),20047.0)</f>
        <v>20047</v>
      </c>
      <c r="AN6" s="114"/>
      <c r="AO6" s="114"/>
      <c r="AP6" s="114"/>
      <c r="AQ6" s="114"/>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IFERROR(__xludf.DUMMYFUNCTION("IMPORTRANGE(""https://docs.google.com/spreadsheets/d/1dffLfsI-BGVz-K0zdrsWfGaqrFfoLJAhq001merp6Rk/edit?usp=sharing"",""1-12每月!$H7"")"),5904.0)</f>
        <v>5904</v>
      </c>
      <c r="N7" s="83">
        <f>IFERROR(__xludf.DUMMYFUNCTION("IMPORTRANGE(""https://docs.google.com/spreadsheets/d/1SzxpZPUDnwxS8mSOLGEH5NbWU7ZW_VcRmIn7psOvuTs/edit#gid=1650312294?usp=sharing"",""1-12每月!$H7"")"),6738.0)</f>
        <v>6738</v>
      </c>
      <c r="O7" s="83">
        <f>IFERROR(__xludf.DUMMYFUNCTION("IMPORTRANGE(""https://docs.google.com/spreadsheets/d/1ta9i7cAkOPF0LapwmU_YEDA4IPQvKNuaYVMY8vIVPwI/edit#gid=1607741572?usp=sharing"",""1-12每月!$H7"")"),9850.0)</f>
        <v>9850</v>
      </c>
      <c r="P7" s="83">
        <f>IFERROR(__xludf.DUMMYFUNCTION("IMPORTRANGE(""https://docs.google.com/spreadsheets/d/1f4WWQfcNBonYqfzcaBhJlHzPwh34sx4U6naz-Aw2G4I/edit#gid=2097425894?usp=sharing"",""1-12每月!$E7"")"),10344.0)</f>
        <v>10344</v>
      </c>
      <c r="Q7" s="83">
        <f>IFERROR(__xludf.DUMMYFUNCTION("IMPORTRANGE(""https://docs.google.com/spreadsheets/d/1pCmmgCj7Y_SQPZLsiVd3yvND9oLyryVfBwNxC6OUwm8/edit#gid=170549058?usp=sharing"",""1-12每月!$E7"")"),3530.0)</f>
        <v>3530</v>
      </c>
      <c r="R7" s="83">
        <f>IFERROR(__xludf.DUMMYFUNCTION("IMPORTRANGE(""https://docs.google.com/spreadsheets/d/1hrRqxxacrLITR_JGMRVbhSRCIZIU8gAv0o_aOkHz68M/edit#gid=763155734?usp=sharing"",""1-12每月!$E7"")"),12032.0)</f>
        <v>12032</v>
      </c>
      <c r="S7" s="83">
        <f>IFERROR(__xludf.DUMMYFUNCTION("IMPORTRANGE(""https://docs.google.com/spreadsheets/d/1AKS3XWcgwNLFRbGU-lJ3UBHDQNdglvKwrv4_Bpp1IjU/edit#gid=73116376?usp=sharing"",""1-12每月!$D7"")"),8498.0)</f>
        <v>8498</v>
      </c>
      <c r="T7" s="83">
        <f>IFERROR(__xludf.DUMMYFUNCTION("IMPORTRANGE(""https://docs.google.com/spreadsheets/d/1wGGXGHkWT5JsjUDTy4FnHN_O9ae4MADbMykqIWVThNc/edit#gid=297806252?usp=sharing"",""1-12每月!$D7"")"),10704.0)</f>
        <v>10704</v>
      </c>
      <c r="U7" s="83">
        <f>IFERROR(__xludf.DUMMYFUNCTION("IMPORTRANGE(""https://docs.google.com/spreadsheets/d/1ShTgtQQDjMKpYx-TJ_lwdxnWSzJNUcNnzR3fJjoaZec/edit#gid=66107904?usp=sharing"",""1-12每月!$D7"")"),4882.0)</f>
        <v>4882</v>
      </c>
      <c r="V7" s="83">
        <f>IFERROR(__xludf.DUMMYFUNCTION("IMPORTRANGE(""https://docs.google.com/spreadsheets/d/1_eyuyKbXFCJd6fVFEKQwugwYCbRCmmWN_M7XR1dtOb8/edit#gid=951918895?usp=sharing"",""1-12每月!$D7"")"),6668.0)</f>
        <v>6668</v>
      </c>
      <c r="W7" s="83">
        <f>IFERROR(__xludf.DUMMYFUNCTION("IMPORTRANGE(""https://docs.google.com/spreadsheets/d/1yEpHI9_Y4w8sRmPP9C-mYK4NMfVuTJifGLMj4FMdqek/edit#gid=799087919?usp=sharing"",""1-12每月!$D7"")"),6818.0)</f>
        <v>6818</v>
      </c>
      <c r="X7" s="83">
        <f>IFERROR(__xludf.DUMMYFUNCTION("IMPORTRANGE(""https://docs.google.com/spreadsheets/d/1Vbyb9GlrY6jOwvoGyZFB96f7WXYjkT6gvTE37DPDXDI/edit#gid=9591526?usp=sharing"",""1-12每月!$D7"")"),4312.0)</f>
        <v>4312</v>
      </c>
      <c r="Y7" s="83">
        <f>IFERROR(__xludf.DUMMYFUNCTION("IMPORTRANGE(""https://docs.google.com/spreadsheets/d/1qeckoJwzWQAg8zQ80D-QJP4pnVYH6l2juaUyHtOu6y8/edit#gid=1905704096?usp=sharing"",""1-12每月!$D7"")"),7374.0)</f>
        <v>7374</v>
      </c>
      <c r="Z7" s="83">
        <f>IFERROR(__xludf.DUMMYFUNCTION("IMPORTRANGE(""https://docs.google.com/spreadsheets/d/1BcbIi7AD1VDpy_wMQ0YjCG-iuQy0_tkCVqr72a0Pwbg/edit#gid=1099513714?usp=sharing"",""1-12每月!$D7"")"),0.0)</f>
        <v>0</v>
      </c>
      <c r="AA7" s="83">
        <f>IFERROR(__xludf.DUMMYFUNCTION("IMPORTRANGE(""https://docs.google.com/spreadsheets/d/1cIFCQPaYiOmIt2O3vkEx5eto8sfRtx3JtAWJ1fv31HI/edit#gid=432689709?usp=sharing"",""1-12每月!$D7"")"),8958.0)</f>
        <v>8958</v>
      </c>
      <c r="AB7" s="83">
        <f>IFERROR(__xludf.DUMMYFUNCTION("IMPORTRANGE(""https://docs.google.com/spreadsheets/d/1C8ECYlbes2CJkHHGOAyOYVfrP7PdlGr8RMjK7KZd0_o/edit#gid=495469277?usp=sharing"",""1-12每月!$D7"")"),8450.0)</f>
        <v>8450</v>
      </c>
      <c r="AC7" s="83">
        <f>IFERROR(__xludf.DUMMYFUNCTION("IMPORTRANGE(""https://docs.google.com/spreadsheets/d/1ettcrhLPK6tkvHZxDTyU2bGIpGSi2ynG91ln0fqz9iE/edit#gid=1364213386?usp=sharing"",""1-12每月!$E7"")"),5653.0)</f>
        <v>5653</v>
      </c>
      <c r="AD7" s="83">
        <f>IFERROR(__xludf.DUMMYFUNCTION("IMPORTRANGE(""https://docs.google.com/spreadsheets/d/1xUhm-MtqzfUO8M5WEWVv9w2EFkv5_PHMOsAlA3CcCWU/edit#gid=1700470961?usp=sharing"",""1-12每月!$E7"")"),7686.0)</f>
        <v>7686</v>
      </c>
      <c r="AE7" s="83">
        <f>IFERROR(__xludf.DUMMYFUNCTION("IMPORTRANGE(""https://docs.google.com/spreadsheets/d/1DP8wl0QQLYSZ8R2aQ8wNmiAUXn7lVrqMsdTccpBmnQc/edit#gid=1145593933?usp=sharing"",""1-12每月!$E7"")"),7378.0)</f>
        <v>7378</v>
      </c>
      <c r="AF7" s="83">
        <f>IFERROR(__xludf.DUMMYFUNCTION("IMPORTRANGE(""https://docs.google.com/spreadsheets/d/17hbKAHrpKLEbG3r9s1Ay3fOGzvOBzSu3Bn_CD4JNLhY/edit#gid=756408948?usp=sharing"",""1-12每月!$E7"")"),0.0)</f>
        <v>0</v>
      </c>
      <c r="AG7" s="83">
        <f>IFERROR(__xludf.DUMMYFUNCTION("IMPORTRANGE(""https://docs.google.com/spreadsheets/d/1qeecSCKZ78ENQrsyUYpSNZqvo0-Y-uuGKFA1F06yLEM/edit#gid=874445072?usp=sharing"",""1-12每月!$E7"")"),30305.0)</f>
        <v>30305</v>
      </c>
      <c r="AH7" s="83">
        <f>IFERROR(__xludf.DUMMYFUNCTION("IMPORTRANGE(""https://docs.google.com/spreadsheets/d/1BSX0y1fIKw9-3VTr627UzGVjwKe74kwBkuFnvlaueNo/edit#gid=1113655470"",""1-12每月!$E7"")"),31614.0)</f>
        <v>31614</v>
      </c>
      <c r="AI7" s="83">
        <f>IFERROR(__xludf.DUMMYFUNCTION("IMPORTRANGE(""https://docs.google.com/spreadsheets/d/1bQzlrSGiVqBrfQ6FKnw67vhBELFgthonryGzmQabVFQ/edit#gid=1015697053?usp=sharing"",""1-12每月!$E7"")"),13884.0)</f>
        <v>13884</v>
      </c>
      <c r="AJ7" s="83">
        <f>IFERROR(__xludf.DUMMYFUNCTION("IMPORTRANGE(""https://docs.google.com/spreadsheets/d/1Pem-mgCz4CF6EUKNVxDQx16g9jie0F5YNDQ_cPnMHYs"",""1-12每月!$E7"")"),24036.0)</f>
        <v>24036</v>
      </c>
      <c r="AK7" s="83">
        <f>IFERROR(__xludf.DUMMYFUNCTION("IMPORTRANGE(""https://docs.google.com/spreadsheets/d/1ZoRtUl0m9T3TpY8H-9-ntNBO_zrYrgNKuAe_XfTeFnU"",""1-12每月!$E7"")"),14374.0)</f>
        <v>14374</v>
      </c>
      <c r="AL7" s="83">
        <f>IFERROR(__xludf.DUMMYFUNCTION("IMPORTRANGE(""https://docs.google.com/spreadsheets/d/1Y9Uv46r1nA3ixCGwTWZqhGQWDt4KVX4iXmhJgHL5CGQ"",""1-12每月!$E7"")"),14768.0)</f>
        <v>14768</v>
      </c>
      <c r="AM7" s="83">
        <f>IFERROR(__xludf.DUMMYFUNCTION("IMPORTRANGE(""https://docs.google.com/spreadsheets/d/1E3X732-CKfouAVQOwKyrePWwI1Bwg9NHD0VD42lyiu4/edit?gid=1513765949#gid=1513765949"",""1-12每月!$E7"")"),14193.0)</f>
        <v>14193</v>
      </c>
      <c r="AN7" s="114"/>
      <c r="AO7" s="114"/>
      <c r="AP7" s="114"/>
      <c r="AQ7" s="114"/>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IFERROR(__xludf.DUMMYFUNCTION("IMPORTRANGE(""https://docs.google.com/spreadsheets/d/1dffLfsI-BGVz-K0zdrsWfGaqrFfoLJAhq001merp6Rk/edit?usp=sharing"",""1-12每月!$H8"")"),9236.0)</f>
        <v>9236</v>
      </c>
      <c r="N8" s="83">
        <f>IFERROR(__xludf.DUMMYFUNCTION("IMPORTRANGE(""https://docs.google.com/spreadsheets/d/1SzxpZPUDnwxS8mSOLGEH5NbWU7ZW_VcRmIn7psOvuTs/edit#gid=1650312294?usp=sharing"",""1-12每月!$H8"")"),10489.0)</f>
        <v>10489</v>
      </c>
      <c r="O8" s="83">
        <f>IFERROR(__xludf.DUMMYFUNCTION("IMPORTRANGE(""https://docs.google.com/spreadsheets/d/1ta9i7cAkOPF0LapwmU_YEDA4IPQvKNuaYVMY8vIVPwI/edit#gid=1607741572?usp=sharing"",""1-12每月!$H8"")"),10663.0)</f>
        <v>10663</v>
      </c>
      <c r="P8" s="83">
        <f>IFERROR(__xludf.DUMMYFUNCTION("IMPORTRANGE(""https://docs.google.com/spreadsheets/d/1f4WWQfcNBonYqfzcaBhJlHzPwh34sx4U6naz-Aw2G4I/edit#gid=2097425894?usp=sharing"",""1-12每月!$E8"")"),6466.0)</f>
        <v>6466</v>
      </c>
      <c r="Q8" s="83">
        <f>IFERROR(__xludf.DUMMYFUNCTION("IMPORTRANGE(""https://docs.google.com/spreadsheets/d/1pCmmgCj7Y_SQPZLsiVd3yvND9oLyryVfBwNxC6OUwm8/edit#gid=170549058?usp=sharing"",""1-12每月!$E8"")"),8544.0)</f>
        <v>8544</v>
      </c>
      <c r="R8" s="83">
        <f>IFERROR(__xludf.DUMMYFUNCTION("IMPORTRANGE(""https://docs.google.com/spreadsheets/d/1hrRqxxacrLITR_JGMRVbhSRCIZIU8gAv0o_aOkHz68M/edit#gid=763155734?usp=sharing"",""1-12每月!$E8"")"),15830.0)</f>
        <v>15830</v>
      </c>
      <c r="S8" s="83">
        <f>IFERROR(__xludf.DUMMYFUNCTION("IMPORTRANGE(""https://docs.google.com/spreadsheets/d/1AKS3XWcgwNLFRbGU-lJ3UBHDQNdglvKwrv4_Bpp1IjU/edit#gid=73116376?usp=sharing"",""1-12每月!$D8"")"),12644.0)</f>
        <v>12644</v>
      </c>
      <c r="T8" s="83">
        <f>IFERROR(__xludf.DUMMYFUNCTION("IMPORTRANGE(""https://docs.google.com/spreadsheets/d/1wGGXGHkWT5JsjUDTy4FnHN_O9ae4MADbMykqIWVThNc/edit#gid=297806252?usp=sharing"",""1-12每月!$D8"")"),12956.0)</f>
        <v>12956</v>
      </c>
      <c r="U8" s="83">
        <f>IFERROR(__xludf.DUMMYFUNCTION("IMPORTRANGE(""https://docs.google.com/spreadsheets/d/1ShTgtQQDjMKpYx-TJ_lwdxnWSzJNUcNnzR3fJjoaZec/edit#gid=66107904?usp=sharing"",""1-12每月!$D8"")"),7431.0)</f>
        <v>7431</v>
      </c>
      <c r="V8" s="83">
        <f>IFERROR(__xludf.DUMMYFUNCTION("IMPORTRANGE(""https://docs.google.com/spreadsheets/d/1_eyuyKbXFCJd6fVFEKQwugwYCbRCmmWN_M7XR1dtOb8/edit#gid=951918895?usp=sharing"",""1-12每月!$D8"")"),7553.0)</f>
        <v>7553</v>
      </c>
      <c r="W8" s="83">
        <f>IFERROR(__xludf.DUMMYFUNCTION("IMPORTRANGE(""https://docs.google.com/spreadsheets/d/1yEpHI9_Y4w8sRmPP9C-mYK4NMfVuTJifGLMj4FMdqek/edit#gid=799087919?usp=sharing"",""1-12每月!$D8"")"),7946.0)</f>
        <v>7946</v>
      </c>
      <c r="X8" s="83">
        <f>IFERROR(__xludf.DUMMYFUNCTION("IMPORTRANGE(""https://docs.google.com/spreadsheets/d/1Vbyb9GlrY6jOwvoGyZFB96f7WXYjkT6gvTE37DPDXDI/edit#gid=9591526?usp=sharing"",""1-12每月!$D8"")"),9037.0)</f>
        <v>9037</v>
      </c>
      <c r="Y8" s="83">
        <f>IFERROR(__xludf.DUMMYFUNCTION("IMPORTRANGE(""https://docs.google.com/spreadsheets/d/1qeckoJwzWQAg8zQ80D-QJP4pnVYH6l2juaUyHtOu6y8/edit#gid=1905704096?usp=sharing"",""1-12每月!$D8"")"),8726.0)</f>
        <v>8726</v>
      </c>
      <c r="Z8" s="83">
        <f>IFERROR(__xludf.DUMMYFUNCTION("IMPORTRANGE(""https://docs.google.com/spreadsheets/d/1BcbIi7AD1VDpy_wMQ0YjCG-iuQy0_tkCVqr72a0Pwbg/edit#gid=1099513714?usp=sharing"",""1-12每月!$D8"")"),0.0)</f>
        <v>0</v>
      </c>
      <c r="AA8" s="83">
        <f>IFERROR(__xludf.DUMMYFUNCTION("IMPORTRANGE(""https://docs.google.com/spreadsheets/d/1cIFCQPaYiOmIt2O3vkEx5eto8sfRtx3JtAWJ1fv31HI/edit#gid=432689709?usp=sharing"",""1-12每月!$D8"")"),12045.0)</f>
        <v>12045</v>
      </c>
      <c r="AB8" s="83">
        <f>IFERROR(__xludf.DUMMYFUNCTION("IMPORTRANGE(""https://docs.google.com/spreadsheets/d/1C8ECYlbes2CJkHHGOAyOYVfrP7PdlGr8RMjK7KZd0_o/edit#gid=495469277?usp=sharing"",""1-12每月!$D8"")"),10574.0)</f>
        <v>10574</v>
      </c>
      <c r="AC8" s="83">
        <f>IFERROR(__xludf.DUMMYFUNCTION("IMPORTRANGE(""https://docs.google.com/spreadsheets/d/1ettcrhLPK6tkvHZxDTyU2bGIpGSi2ynG91ln0fqz9iE/edit#gid=1364213386?usp=sharing"",""1-12每月!$E8"")"),8565.0)</f>
        <v>8565</v>
      </c>
      <c r="AD8" s="83">
        <f>IFERROR(__xludf.DUMMYFUNCTION("IMPORTRANGE(""https://docs.google.com/spreadsheets/d/1xUhm-MtqzfUO8M5WEWVv9w2EFkv5_PHMOsAlA3CcCWU/edit#gid=1700470961?usp=sharing"",""1-12每月!$E8"")"),11203.0)</f>
        <v>11203</v>
      </c>
      <c r="AE8" s="83">
        <f>IFERROR(__xludf.DUMMYFUNCTION("IMPORTRANGE(""https://docs.google.com/spreadsheets/d/1DP8wl0QQLYSZ8R2aQ8wNmiAUXn7lVrqMsdTccpBmnQc/edit#gid=1145593933?usp=sharing"",""1-12每月!$E8"")"),9292.0)</f>
        <v>9292</v>
      </c>
      <c r="AF8" s="83">
        <f>IFERROR(__xludf.DUMMYFUNCTION("IMPORTRANGE(""https://docs.google.com/spreadsheets/d/17hbKAHrpKLEbG3r9s1Ay3fOGzvOBzSu3Bn_CD4JNLhY/edit#gid=756408948?usp=sharing"",""1-12每月!$E8"")"),0.0)</f>
        <v>0</v>
      </c>
      <c r="AG8" s="83">
        <f>IFERROR(__xludf.DUMMYFUNCTION("IMPORTRANGE(""https://docs.google.com/spreadsheets/d/1qeecSCKZ78ENQrsyUYpSNZqvo0-Y-uuGKFA1F06yLEM/edit#gid=874445072?usp=sharing"",""1-12每月!$E8"")"),45750.0)</f>
        <v>45750</v>
      </c>
      <c r="AH8" s="83">
        <f>IFERROR(__xludf.DUMMYFUNCTION("IMPORTRANGE(""https://docs.google.com/spreadsheets/d/1BSX0y1fIKw9-3VTr627UzGVjwKe74kwBkuFnvlaueNo/edit#gid=1113655470"",""1-12每月!$E8"")"),37276.0)</f>
        <v>37276</v>
      </c>
      <c r="AI8" s="83">
        <f>IFERROR(__xludf.DUMMYFUNCTION("IMPORTRANGE(""https://docs.google.com/spreadsheets/d/1bQzlrSGiVqBrfQ6FKnw67vhBELFgthonryGzmQabVFQ/edit#gid=1015697053?usp=sharing"",""1-12每月!$E8"")"),13910.0)</f>
        <v>13910</v>
      </c>
      <c r="AJ8" s="83">
        <f>IFERROR(__xludf.DUMMYFUNCTION("IMPORTRANGE(""https://docs.google.com/spreadsheets/d/1Pem-mgCz4CF6EUKNVxDQx16g9jie0F5YNDQ_cPnMHYs"",""1-12每月!$E8"")"),21136.0)</f>
        <v>21136</v>
      </c>
      <c r="AK8" s="83">
        <f>IFERROR(__xludf.DUMMYFUNCTION("IMPORTRANGE(""https://docs.google.com/spreadsheets/d/1ZoRtUl0m9T3TpY8H-9-ntNBO_zrYrgNKuAe_XfTeFnU"",""1-12每月!$E8"")"),13129.0)</f>
        <v>13129</v>
      </c>
      <c r="AL8" s="83">
        <f>IFERROR(__xludf.DUMMYFUNCTION("IMPORTRANGE(""https://docs.google.com/spreadsheets/d/1Y9Uv46r1nA3ixCGwTWZqhGQWDt4KVX4iXmhJgHL5CGQ"",""1-12每月!$E8"")"),17310.0)</f>
        <v>17310</v>
      </c>
      <c r="AM8" s="83">
        <f>IFERROR(__xludf.DUMMYFUNCTION("IMPORTRANGE(""https://docs.google.com/spreadsheets/d/1E3X732-CKfouAVQOwKyrePWwI1Bwg9NHD0VD42lyiu4/edit?gid=1513765949#gid=1513765949"",""1-12每月!$E8"")"),16661.0)</f>
        <v>16661</v>
      </c>
      <c r="AN8" s="114"/>
      <c r="AO8" s="114"/>
      <c r="AP8" s="114"/>
      <c r="AQ8" s="114"/>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IFERROR(__xludf.DUMMYFUNCTION("IMPORTRANGE(""https://docs.google.com/spreadsheets/d/1dffLfsI-BGVz-K0zdrsWfGaqrFfoLJAhq001merp6Rk/edit?usp=sharing"",""1-12每月!$H9"")"),6203.0)</f>
        <v>6203</v>
      </c>
      <c r="N9" s="83">
        <f>IFERROR(__xludf.DUMMYFUNCTION("IMPORTRANGE(""https://docs.google.com/spreadsheets/d/1SzxpZPUDnwxS8mSOLGEH5NbWU7ZW_VcRmIn7psOvuTs/edit#gid=1650312294?usp=sharing"",""1-12每月!$H9"")"),7414.0)</f>
        <v>7414</v>
      </c>
      <c r="O9" s="83">
        <f>IFERROR(__xludf.DUMMYFUNCTION("IMPORTRANGE(""https://docs.google.com/spreadsheets/d/1ta9i7cAkOPF0LapwmU_YEDA4IPQvKNuaYVMY8vIVPwI/edit#gid=1607741572?usp=sharing"",""1-12每月!$H9"")"),7108.0)</f>
        <v>7108</v>
      </c>
      <c r="P9" s="83">
        <f>IFERROR(__xludf.DUMMYFUNCTION("IMPORTRANGE(""https://docs.google.com/spreadsheets/d/1f4WWQfcNBonYqfzcaBhJlHzPwh34sx4U6naz-Aw2G4I/edit#gid=2097425894?usp=sharing"",""1-12每月!$E9"")"),3029.0)</f>
        <v>3029</v>
      </c>
      <c r="Q9" s="83">
        <f>IFERROR(__xludf.DUMMYFUNCTION("IMPORTRANGE(""https://docs.google.com/spreadsheets/d/1pCmmgCj7Y_SQPZLsiVd3yvND9oLyryVfBwNxC6OUwm8/edit#gid=170549058?usp=sharing"",""1-12每月!$E9"")"),9578.0)</f>
        <v>9578</v>
      </c>
      <c r="R9" s="83">
        <f>IFERROR(__xludf.DUMMYFUNCTION("IMPORTRANGE(""https://docs.google.com/spreadsheets/d/1hrRqxxacrLITR_JGMRVbhSRCIZIU8gAv0o_aOkHz68M/edit#gid=763155734?usp=sharing"",""1-12每月!$E9"")"),11130.0)</f>
        <v>11130</v>
      </c>
      <c r="S9" s="83">
        <f>IFERROR(__xludf.DUMMYFUNCTION("IMPORTRANGE(""https://docs.google.com/spreadsheets/d/1AKS3XWcgwNLFRbGU-lJ3UBHDQNdglvKwrv4_Bpp1IjU/edit#gid=73116376?usp=sharing"",""1-12每月!$D9"")"),7588.0)</f>
        <v>7588</v>
      </c>
      <c r="T9" s="83">
        <f>IFERROR(__xludf.DUMMYFUNCTION("IMPORTRANGE(""https://docs.google.com/spreadsheets/d/1wGGXGHkWT5JsjUDTy4FnHN_O9ae4MADbMykqIWVThNc/edit#gid=297806252?usp=sharing"",""1-12每月!$D9"")"),11085.0)</f>
        <v>11085</v>
      </c>
      <c r="U9" s="83">
        <f>IFERROR(__xludf.DUMMYFUNCTION("IMPORTRANGE(""https://docs.google.com/spreadsheets/d/1ShTgtQQDjMKpYx-TJ_lwdxnWSzJNUcNnzR3fJjoaZec/edit#gid=66107904?usp=sharing"",""1-12每月!$D9"")"),6304.0)</f>
        <v>6304</v>
      </c>
      <c r="V9" s="83">
        <f>IFERROR(__xludf.DUMMYFUNCTION("IMPORTRANGE(""https://docs.google.com/spreadsheets/d/1_eyuyKbXFCJd6fVFEKQwugwYCbRCmmWN_M7XR1dtOb8/edit#gid=951918895?usp=sharing"",""1-12每月!$D9"")"),8074.0)</f>
        <v>8074</v>
      </c>
      <c r="W9" s="83">
        <f>IFERROR(__xludf.DUMMYFUNCTION("IMPORTRANGE(""https://docs.google.com/spreadsheets/d/1yEpHI9_Y4w8sRmPP9C-mYK4NMfVuTJifGLMj4FMdqek/edit#gid=799087919?usp=sharing"",""1-12每月!$D9"")"),7551.0)</f>
        <v>7551</v>
      </c>
      <c r="X9" s="83">
        <f>IFERROR(__xludf.DUMMYFUNCTION("IMPORTRANGE(""https://docs.google.com/spreadsheets/d/1Vbyb9GlrY6jOwvoGyZFB96f7WXYjkT6gvTE37DPDXDI/edit#gid=9591526?usp=sharing"",""1-12每月!$D9"")"),5383.0)</f>
        <v>5383</v>
      </c>
      <c r="Y9" s="83">
        <f>IFERROR(__xludf.DUMMYFUNCTION("IMPORTRANGE(""https://docs.google.com/spreadsheets/d/1qeckoJwzWQAg8zQ80D-QJP4pnVYH6l2juaUyHtOu6y8/edit#gid=1905704096?usp=sharing"",""1-12每月!$D9"")"),7348.0)</f>
        <v>7348</v>
      </c>
      <c r="Z9" s="83">
        <f>IFERROR(__xludf.DUMMYFUNCTION("IMPORTRANGE(""https://docs.google.com/spreadsheets/d/1BcbIi7AD1VDpy_wMQ0YjCG-iuQy0_tkCVqr72a0Pwbg/edit#gid=1099513714?usp=sharing"",""1-12每月!$D9"")"),0.0)</f>
        <v>0</v>
      </c>
      <c r="AA9" s="83">
        <f>IFERROR(__xludf.DUMMYFUNCTION("IMPORTRANGE(""https://docs.google.com/spreadsheets/d/1cIFCQPaYiOmIt2O3vkEx5eto8sfRtx3JtAWJ1fv31HI/edit#gid=432689709?usp=sharing"",""1-12每月!$D9"")"),10576.0)</f>
        <v>10576</v>
      </c>
      <c r="AB9" s="83">
        <f>IFERROR(__xludf.DUMMYFUNCTION("IMPORTRANGE(""https://docs.google.com/spreadsheets/d/1C8ECYlbes2CJkHHGOAyOYVfrP7PdlGr8RMjK7KZd0_o/edit#gid=495469277?usp=sharing"",""1-12每月!$D9"")"),9214.0)</f>
        <v>9214</v>
      </c>
      <c r="AC9" s="83">
        <f>IFERROR(__xludf.DUMMYFUNCTION("IMPORTRANGE(""https://docs.google.com/spreadsheets/d/1ettcrhLPK6tkvHZxDTyU2bGIpGSi2ynG91ln0fqz9iE/edit#gid=1364213386?usp=sharing"",""1-12每月!$E9"")"),8813.0)</f>
        <v>8813</v>
      </c>
      <c r="AD9" s="83">
        <f>IFERROR(__xludf.DUMMYFUNCTION("IMPORTRANGE(""https://docs.google.com/spreadsheets/d/1xUhm-MtqzfUO8M5WEWVv9w2EFkv5_PHMOsAlA3CcCWU/edit#gid=1700470961?usp=sharing"",""1-12每月!$E9"")"),9311.0)</f>
        <v>9311</v>
      </c>
      <c r="AE9" s="83">
        <f>IFERROR(__xludf.DUMMYFUNCTION("IMPORTRANGE(""https://docs.google.com/spreadsheets/d/1DP8wl0QQLYSZ8R2aQ8wNmiAUXn7lVrqMsdTccpBmnQc/edit#gid=1145593933?usp=sharing"",""1-12每月!$E9"")"),6141.0)</f>
        <v>6141</v>
      </c>
      <c r="AF9" s="83">
        <f>IFERROR(__xludf.DUMMYFUNCTION("IMPORTRANGE(""https://docs.google.com/spreadsheets/d/17hbKAHrpKLEbG3r9s1Ay3fOGzvOBzSu3Bn_CD4JNLhY/edit#gid=756408948?usp=sharing"",""1-12每月!$E9"")"),0.0)</f>
        <v>0</v>
      </c>
      <c r="AG9" s="83">
        <f>IFERROR(__xludf.DUMMYFUNCTION("IMPORTRANGE(""https://docs.google.com/spreadsheets/d/1qeecSCKZ78ENQrsyUYpSNZqvo0-Y-uuGKFA1F06yLEM/edit#gid=874445072?usp=sharing"",""1-12每月!$E9"")"),19822.0)</f>
        <v>19822</v>
      </c>
      <c r="AH9" s="83">
        <f>IFERROR(__xludf.DUMMYFUNCTION("IMPORTRANGE(""https://docs.google.com/spreadsheets/d/1BSX0y1fIKw9-3VTr627UzGVjwKe74kwBkuFnvlaueNo/edit#gid=1113655470"",""1-12每月!$E9"")"),22254.0)</f>
        <v>22254</v>
      </c>
      <c r="AI9" s="83">
        <f>IFERROR(__xludf.DUMMYFUNCTION("IMPORTRANGE(""https://docs.google.com/spreadsheets/d/1bQzlrSGiVqBrfQ6FKnw67vhBELFgthonryGzmQabVFQ/edit#gid=1015697053?usp=sharing"",""1-12每月!$E9"")"),10628.0)</f>
        <v>10628</v>
      </c>
      <c r="AJ9" s="83">
        <f>IFERROR(__xludf.DUMMYFUNCTION("IMPORTRANGE(""https://docs.google.com/spreadsheets/d/1Pem-mgCz4CF6EUKNVxDQx16g9jie0F5YNDQ_cPnMHYs"",""1-12每月!$E9"")"),19887.0)</f>
        <v>19887</v>
      </c>
      <c r="AK9" s="83">
        <f>IFERROR(__xludf.DUMMYFUNCTION("IMPORTRANGE(""https://docs.google.com/spreadsheets/d/1ZoRtUl0m9T3TpY8H-9-ntNBO_zrYrgNKuAe_XfTeFnU"",""1-12每月!$E9"")"),10693.0)</f>
        <v>10693</v>
      </c>
      <c r="AL9" s="83">
        <f>IFERROR(__xludf.DUMMYFUNCTION("IMPORTRANGE(""https://docs.google.com/spreadsheets/d/1Y9Uv46r1nA3ixCGwTWZqhGQWDt4KVX4iXmhJgHL5CGQ"",""1-12每月!$E9"")"),13831.0)</f>
        <v>13831</v>
      </c>
      <c r="AM9" s="83">
        <f>IFERROR(__xludf.DUMMYFUNCTION("IMPORTRANGE(""https://docs.google.com/spreadsheets/d/1E3X732-CKfouAVQOwKyrePWwI1Bwg9NHD0VD42lyiu4/edit?gid=1513765949#gid=1513765949"",""1-12每月!$E9"")"),17718.0)</f>
        <v>17718</v>
      </c>
      <c r="AN9" s="114"/>
      <c r="AO9" s="114"/>
      <c r="AP9" s="114"/>
      <c r="AQ9" s="114"/>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IFERROR(__xludf.DUMMYFUNCTION("IMPORTRANGE(""https://docs.google.com/spreadsheets/d/1dffLfsI-BGVz-K0zdrsWfGaqrFfoLJAhq001merp6Rk/edit?usp=sharing"",""1-12每月!$H10"")"),6486.0)</f>
        <v>6486</v>
      </c>
      <c r="N10" s="83">
        <f>IFERROR(__xludf.DUMMYFUNCTION("IMPORTRANGE(""https://docs.google.com/spreadsheets/d/1SzxpZPUDnwxS8mSOLGEH5NbWU7ZW_VcRmIn7psOvuTs/edit#gid=1650312294?usp=sharing"",""1-12每月!$H10"")"),5824.0)</f>
        <v>5824</v>
      </c>
      <c r="O10" s="83">
        <f>IFERROR(__xludf.DUMMYFUNCTION("IMPORTRANGE(""https://docs.google.com/spreadsheets/d/1ta9i7cAkOPF0LapwmU_YEDA4IPQvKNuaYVMY8vIVPwI/edit#gid=1607741572?usp=sharing"",""1-12每月!$H10"")"),8138.0)</f>
        <v>8138</v>
      </c>
      <c r="P10" s="83">
        <f>IFERROR(__xludf.DUMMYFUNCTION("IMPORTRANGE(""https://docs.google.com/spreadsheets/d/1f4WWQfcNBonYqfzcaBhJlHzPwh34sx4U6naz-Aw2G4I/edit#gid=2097425894?usp=sharing"",""1-12每月!$E10"")"),5076.0)</f>
        <v>5076</v>
      </c>
      <c r="Q10" s="83">
        <f>IFERROR(__xludf.DUMMYFUNCTION("IMPORTRANGE(""https://docs.google.com/spreadsheets/d/1pCmmgCj7Y_SQPZLsiVd3yvND9oLyryVfBwNxC6OUwm8/edit#gid=170549058?usp=sharing"",""1-12每月!$E10"")"),9514.0)</f>
        <v>9514</v>
      </c>
      <c r="R10" s="83">
        <f>IFERROR(__xludf.DUMMYFUNCTION("IMPORTRANGE(""https://docs.google.com/spreadsheets/d/1hrRqxxacrLITR_JGMRVbhSRCIZIU8gAv0o_aOkHz68M/edit#gid=763155734?usp=sharing"",""1-12每月!$E10"")"),10170.0)</f>
        <v>10170</v>
      </c>
      <c r="S10" s="83">
        <f>IFERROR(__xludf.DUMMYFUNCTION("IMPORTRANGE(""https://docs.google.com/spreadsheets/d/1AKS3XWcgwNLFRbGU-lJ3UBHDQNdglvKwrv4_Bpp1IjU/edit#gid=73116376?usp=sharing"",""1-12每月!$D10"")"),8695.0)</f>
        <v>8695</v>
      </c>
      <c r="T10" s="83">
        <f>IFERROR(__xludf.DUMMYFUNCTION("IMPORTRANGE(""https://docs.google.com/spreadsheets/d/1wGGXGHkWT5JsjUDTy4FnHN_O9ae4MADbMykqIWVThNc/edit#gid=297806252?usp=sharing"",""1-12每月!$D10"")"),12471.0)</f>
        <v>12471</v>
      </c>
      <c r="U10" s="83">
        <f>IFERROR(__xludf.DUMMYFUNCTION("IMPORTRANGE(""https://docs.google.com/spreadsheets/d/1ShTgtQQDjMKpYx-TJ_lwdxnWSzJNUcNnzR3fJjoaZec/edit#gid=66107904?usp=sharing"",""1-12每月!$D10"")"),5219.0)</f>
        <v>5219</v>
      </c>
      <c r="V10" s="83">
        <f>IFERROR(__xludf.DUMMYFUNCTION("IMPORTRANGE(""https://docs.google.com/spreadsheets/d/1_eyuyKbXFCJd6fVFEKQwugwYCbRCmmWN_M7XR1dtOb8/edit#gid=951918895?usp=sharing"",""1-12每月!$D10"")"),5141.0)</f>
        <v>5141</v>
      </c>
      <c r="W10" s="83">
        <f>IFERROR(__xludf.DUMMYFUNCTION("IMPORTRANGE(""https://docs.google.com/spreadsheets/d/1yEpHI9_Y4w8sRmPP9C-mYK4NMfVuTJifGLMj4FMdqek/edit#gid=799087919?usp=sharing"",""1-12每月!$D10"")"),5535.0)</f>
        <v>5535</v>
      </c>
      <c r="X10" s="83">
        <f>IFERROR(__xludf.DUMMYFUNCTION("IMPORTRANGE(""https://docs.google.com/spreadsheets/d/1Vbyb9GlrY6jOwvoGyZFB96f7WXYjkT6gvTE37DPDXDI/edit#gid=9591526?usp=sharing"",""1-12每月!$D10"")"),4691.0)</f>
        <v>4691</v>
      </c>
      <c r="Y10" s="83">
        <f>IFERROR(__xludf.DUMMYFUNCTION("IMPORTRANGE(""https://docs.google.com/spreadsheets/d/1qeckoJwzWQAg8zQ80D-QJP4pnVYH6l2juaUyHtOu6y8/edit#gid=1905704096?usp=sharing"",""1-12每月!$D10"")"),6369.0)</f>
        <v>6369</v>
      </c>
      <c r="Z10" s="83">
        <f>IFERROR(__xludf.DUMMYFUNCTION("IMPORTRANGE(""https://docs.google.com/spreadsheets/d/1BcbIi7AD1VDpy_wMQ0YjCG-iuQy0_tkCVqr72a0Pwbg/edit#gid=1099513714?usp=sharing"",""1-12每月!$D10"")"),0.0)</f>
        <v>0</v>
      </c>
      <c r="AA10" s="83">
        <f>IFERROR(__xludf.DUMMYFUNCTION("IMPORTRANGE(""https://docs.google.com/spreadsheets/d/1cIFCQPaYiOmIt2O3vkEx5eto8sfRtx3JtAWJ1fv31HI/edit#gid=432689709?usp=sharing"",""1-12每月!$D10"")"),9397.0)</f>
        <v>9397</v>
      </c>
      <c r="AB10" s="83">
        <f>IFERROR(__xludf.DUMMYFUNCTION("IMPORTRANGE(""https://docs.google.com/spreadsheets/d/1C8ECYlbes2CJkHHGOAyOYVfrP7PdlGr8RMjK7KZd0_o/edit#gid=495469277?usp=sharing"",""1-12每月!$D10"")"),8481.0)</f>
        <v>8481</v>
      </c>
      <c r="AC10" s="83">
        <f>IFERROR(__xludf.DUMMYFUNCTION("IMPORTRANGE(""https://docs.google.com/spreadsheets/d/1ettcrhLPK6tkvHZxDTyU2bGIpGSi2ynG91ln0fqz9iE/edit#gid=1364213386?usp=sharing"",""1-12每月!$E10"")"),8616.0)</f>
        <v>8616</v>
      </c>
      <c r="AD10" s="83">
        <f>IFERROR(__xludf.DUMMYFUNCTION("IMPORTRANGE(""https://docs.google.com/spreadsheets/d/1xUhm-MtqzfUO8M5WEWVv9w2EFkv5_PHMOsAlA3CcCWU/edit#gid=1700470961?usp=sharing"",""1-12每月!$E10"")"),8780.0)</f>
        <v>8780</v>
      </c>
      <c r="AE10" s="83">
        <f>IFERROR(__xludf.DUMMYFUNCTION("IMPORTRANGE(""https://docs.google.com/spreadsheets/d/1DP8wl0QQLYSZ8R2aQ8wNmiAUXn7lVrqMsdTccpBmnQc/edit#gid=1145593933?usp=sharing"",""1-12每月!$E10"")"),9881.0)</f>
        <v>9881</v>
      </c>
      <c r="AF10" s="83">
        <f>IFERROR(__xludf.DUMMYFUNCTION("IMPORTRANGE(""https://docs.google.com/spreadsheets/d/17hbKAHrpKLEbG3r9s1Ay3fOGzvOBzSu3Bn_CD4JNLhY/edit#gid=756408948?usp=sharing"",""1-12每月!$E10"")"),0.0)</f>
        <v>0</v>
      </c>
      <c r="AG10" s="83">
        <f>IFERROR(__xludf.DUMMYFUNCTION("IMPORTRANGE(""https://docs.google.com/spreadsheets/d/1qeecSCKZ78ENQrsyUYpSNZqvo0-Y-uuGKFA1F06yLEM/edit#gid=874445072?usp=sharing"",""1-12每月!$E10"")"),33319.0)</f>
        <v>33319</v>
      </c>
      <c r="AH10" s="83">
        <f>IFERROR(__xludf.DUMMYFUNCTION("IMPORTRANGE(""https://docs.google.com/spreadsheets/d/1BSX0y1fIKw9-3VTr627UzGVjwKe74kwBkuFnvlaueNo/edit#gid=1113655470"",""1-12每月!$E10"")"),0.0)</f>
        <v>0</v>
      </c>
      <c r="AI10" s="83">
        <f>IFERROR(__xludf.DUMMYFUNCTION("IMPORTRANGE(""https://docs.google.com/spreadsheets/d/1bQzlrSGiVqBrfQ6FKnw67vhBELFgthonryGzmQabVFQ/edit#gid=1015697053?usp=sharing"",""1-12每月!$E10"")"),13529.0)</f>
        <v>13529</v>
      </c>
      <c r="AJ10" s="83">
        <f>IFERROR(__xludf.DUMMYFUNCTION("IMPORTRANGE(""https://docs.google.com/spreadsheets/d/1Pem-mgCz4CF6EUKNVxDQx16g9jie0F5YNDQ_cPnMHYs"",""1-12每月!$E10"")"),25088.0)</f>
        <v>25088</v>
      </c>
      <c r="AK10" s="83">
        <f>IFERROR(__xludf.DUMMYFUNCTION("IMPORTRANGE(""https://docs.google.com/spreadsheets/d/1ZoRtUl0m9T3TpY8H-9-ntNBO_zrYrgNKuAe_XfTeFnU"",""1-12每月!$E10"")"),16035.0)</f>
        <v>16035</v>
      </c>
      <c r="AL10" s="83">
        <f>IFERROR(__xludf.DUMMYFUNCTION("IMPORTRANGE(""https://docs.google.com/spreadsheets/d/1Y9Uv46r1nA3ixCGwTWZqhGQWDt4KVX4iXmhJgHL5CGQ"",""1-12每月!$E10"")"),17942.0)</f>
        <v>17942</v>
      </c>
      <c r="AM10" s="83">
        <f>IFERROR(__xludf.DUMMYFUNCTION("IMPORTRANGE(""https://docs.google.com/spreadsheets/d/1E3X732-CKfouAVQOwKyrePWwI1Bwg9NHD0VD42lyiu4/edit?gid=1513765949#gid=1513765949"",""1-12每月!$E10"")"),18432.0)</f>
        <v>18432</v>
      </c>
      <c r="AN10" s="115"/>
      <c r="AO10" s="115"/>
      <c r="AP10" s="115"/>
      <c r="AQ10" s="115"/>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IFERROR(__xludf.DUMMYFUNCTION("IMPORTRANGE(""https://docs.google.com/spreadsheets/d/1dffLfsI-BGVz-K0zdrsWfGaqrFfoLJAhq001merp6Rk/edit?usp=sharing"",""1-12每月!$H11"")"),12106.0)</f>
        <v>12106</v>
      </c>
      <c r="N11" s="83">
        <f>IFERROR(__xludf.DUMMYFUNCTION("IMPORTRANGE(""https://docs.google.com/spreadsheets/d/1SzxpZPUDnwxS8mSOLGEH5NbWU7ZW_VcRmIn7psOvuTs/edit#gid=1650312294?usp=sharing"",""1-12每月!$H11"")"),9846.0)</f>
        <v>9846</v>
      </c>
      <c r="O11" s="83">
        <f>IFERROR(__xludf.DUMMYFUNCTION("IMPORTRANGE(""https://docs.google.com/spreadsheets/d/1ta9i7cAkOPF0LapwmU_YEDA4IPQvKNuaYVMY8vIVPwI/edit#gid=1607741572?usp=sharing"",""1-12每月!$H11"")"),17470.0)</f>
        <v>17470</v>
      </c>
      <c r="P11" s="83">
        <f>IFERROR(__xludf.DUMMYFUNCTION("IMPORTRANGE(""https://docs.google.com/spreadsheets/d/1f4WWQfcNBonYqfzcaBhJlHzPwh34sx4U6naz-Aw2G4I/edit#gid=2097425894?usp=sharing"",""1-12每月!$E11"")"),15168.0)</f>
        <v>15168</v>
      </c>
      <c r="Q11" s="83">
        <f>IFERROR(__xludf.DUMMYFUNCTION("IMPORTRANGE(""https://docs.google.com/spreadsheets/d/1pCmmgCj7Y_SQPZLsiVd3yvND9oLyryVfBwNxC6OUwm8/edit#gid=170549058?usp=sharing"",""1-12每月!$E11"")"),17632.0)</f>
        <v>17632</v>
      </c>
      <c r="R11" s="83">
        <f>IFERROR(__xludf.DUMMYFUNCTION("IMPORTRANGE(""https://docs.google.com/spreadsheets/d/1hrRqxxacrLITR_JGMRVbhSRCIZIU8gAv0o_aOkHz68M/edit#gid=763155734?usp=sharing"",""1-12每月!$E11"")"),19162.0)</f>
        <v>19162</v>
      </c>
      <c r="S11" s="83">
        <f>IFERROR(__xludf.DUMMYFUNCTION("IMPORTRANGE(""https://docs.google.com/spreadsheets/d/1AKS3XWcgwNLFRbGU-lJ3UBHDQNdglvKwrv4_Bpp1IjU/edit#gid=73116376?usp=sharing"",""1-12每月!$D11"")"),8287.0)</f>
        <v>8287</v>
      </c>
      <c r="T11" s="83">
        <f>IFERROR(__xludf.DUMMYFUNCTION("IMPORTRANGE(""https://docs.google.com/spreadsheets/d/1wGGXGHkWT5JsjUDTy4FnHN_O9ae4MADbMykqIWVThNc/edit#gid=297806252?usp=sharing"",""1-12每月!$D11"")"),22239.0)</f>
        <v>22239</v>
      </c>
      <c r="U11" s="83">
        <f>IFERROR(__xludf.DUMMYFUNCTION("IMPORTRANGE(""https://docs.google.com/spreadsheets/d/1ShTgtQQDjMKpYx-TJ_lwdxnWSzJNUcNnzR3fJjoaZec/edit#gid=66107904?usp=sharing"",""1-12每月!$D11"")"),8305.0)</f>
        <v>8305</v>
      </c>
      <c r="V11" s="83">
        <f>IFERROR(__xludf.DUMMYFUNCTION("IMPORTRANGE(""https://docs.google.com/spreadsheets/d/1_eyuyKbXFCJd6fVFEKQwugwYCbRCmmWN_M7XR1dtOb8/edit#gid=951918895?usp=sharing"",""1-12每月!$D11"")"),10471.0)</f>
        <v>10471</v>
      </c>
      <c r="W11" s="83">
        <f>IFERROR(__xludf.DUMMYFUNCTION("IMPORTRANGE(""https://docs.google.com/spreadsheets/d/1yEpHI9_Y4w8sRmPP9C-mYK4NMfVuTJifGLMj4FMdqek/edit#gid=799087919?usp=sharing"",""1-12每月!$D11"")"),9838.0)</f>
        <v>9838</v>
      </c>
      <c r="X11" s="83">
        <f>IFERROR(__xludf.DUMMYFUNCTION("IMPORTRANGE(""https://docs.google.com/spreadsheets/d/1Vbyb9GlrY6jOwvoGyZFB96f7WXYjkT6gvTE37DPDXDI/edit#gid=9591526?usp=sharing"",""1-12每月!$D11"")"),11374.0)</f>
        <v>11374</v>
      </c>
      <c r="Y11" s="83">
        <f>IFERROR(__xludf.DUMMYFUNCTION("IMPORTRANGE(""https://docs.google.com/spreadsheets/d/1qeckoJwzWQAg8zQ80D-QJP4pnVYH6l2juaUyHtOu6y8/edit#gid=1905704096?usp=sharing"",""1-12每月!$D11"")"),11020.0)</f>
        <v>11020</v>
      </c>
      <c r="Z11" s="83">
        <f>IFERROR(__xludf.DUMMYFUNCTION("IMPORTRANGE(""https://docs.google.com/spreadsheets/d/1BcbIi7AD1VDpy_wMQ0YjCG-iuQy0_tkCVqr72a0Pwbg/edit#gid=1099513714?usp=sharing"",""1-12每月!$D11"")"),0.0)</f>
        <v>0</v>
      </c>
      <c r="AA11" s="83">
        <f>IFERROR(__xludf.DUMMYFUNCTION("IMPORTRANGE(""https://docs.google.com/spreadsheets/d/1cIFCQPaYiOmIt2O3vkEx5eto8sfRtx3JtAWJ1fv31HI/edit#gid=432689709?usp=sharing"",""1-12每月!$D11"")"),17618.0)</f>
        <v>17618</v>
      </c>
      <c r="AB11" s="83">
        <f>IFERROR(__xludf.DUMMYFUNCTION("IMPORTRANGE(""https://docs.google.com/spreadsheets/d/1C8ECYlbes2CJkHHGOAyOYVfrP7PdlGr8RMjK7KZd0_o/edit#gid=495469277?usp=sharing"",""1-12每月!$D11"")"),14218.0)</f>
        <v>14218</v>
      </c>
      <c r="AC11" s="83">
        <f>IFERROR(__xludf.DUMMYFUNCTION("IMPORTRANGE(""https://docs.google.com/spreadsheets/d/1ettcrhLPK6tkvHZxDTyU2bGIpGSi2ynG91ln0fqz9iE/edit#gid=1364213386?usp=sharing"",""1-12每月!$E11"")"),12037.0)</f>
        <v>12037</v>
      </c>
      <c r="AD11" s="83">
        <f>IFERROR(__xludf.DUMMYFUNCTION("IMPORTRANGE(""https://docs.google.com/spreadsheets/d/1xUhm-MtqzfUO8M5WEWVv9w2EFkv5_PHMOsAlA3CcCWU/edit#gid=1700470961?usp=sharing"",""1-12每月!$E11"")"),13683.0)</f>
        <v>13683</v>
      </c>
      <c r="AE11" s="83">
        <f>IFERROR(__xludf.DUMMYFUNCTION("IMPORTRANGE(""https://docs.google.com/spreadsheets/d/1DP8wl0QQLYSZ8R2aQ8wNmiAUXn7lVrqMsdTccpBmnQc/edit#gid=1145593933?usp=sharing"",""1-12每月!$E11"")"),15852.0)</f>
        <v>15852</v>
      </c>
      <c r="AF11" s="83">
        <f>IFERROR(__xludf.DUMMYFUNCTION("IMPORTRANGE(""https://docs.google.com/spreadsheets/d/17hbKAHrpKLEbG3r9s1Ay3fOGzvOBzSu3Bn_CD4JNLhY/edit#gid=756408948?usp=sharing"",""1-12每月!$E11"")"),13899.0)</f>
        <v>13899</v>
      </c>
      <c r="AG11" s="83">
        <f>IFERROR(__xludf.DUMMYFUNCTION("IMPORTRANGE(""https://docs.google.com/spreadsheets/d/1qeecSCKZ78ENQrsyUYpSNZqvo0-Y-uuGKFA1F06yLEM/edit#gid=874445072?usp=sharing"",""1-12每月!$E11"")"),43726.0)</f>
        <v>43726</v>
      </c>
      <c r="AH11" s="83">
        <f>IFERROR(__xludf.DUMMYFUNCTION("IMPORTRANGE(""https://docs.google.com/spreadsheets/d/1BSX0y1fIKw9-3VTr627UzGVjwKe74kwBkuFnvlaueNo/edit#gid=1113655470"",""1-12每月!$E11"")"),4967.0)</f>
        <v>4967</v>
      </c>
      <c r="AI11" s="83">
        <f>IFERROR(__xludf.DUMMYFUNCTION("IMPORTRANGE(""https://docs.google.com/spreadsheets/d/1bQzlrSGiVqBrfQ6FKnw67vhBELFgthonryGzmQabVFQ/edit#gid=1015697053?usp=sharing"",""1-12每月!$E11"")"),39907.0)</f>
        <v>39907</v>
      </c>
      <c r="AJ11" s="83">
        <f>IFERROR(__xludf.DUMMYFUNCTION("IMPORTRANGE(""https://docs.google.com/spreadsheets/d/1Pem-mgCz4CF6EUKNVxDQx16g9jie0F5YNDQ_cPnMHYs"",""1-12每月!$E11"")"),30487.0)</f>
        <v>30487</v>
      </c>
      <c r="AK11" s="83">
        <f>IFERROR(__xludf.DUMMYFUNCTION("IMPORTRANGE(""https://docs.google.com/spreadsheets/d/1ZoRtUl0m9T3TpY8H-9-ntNBO_zrYrgNKuAe_XfTeFnU"",""1-12每月!$E11"")"),20900.0)</f>
        <v>20900</v>
      </c>
      <c r="AL11" s="83">
        <f>IFERROR(__xludf.DUMMYFUNCTION("IMPORTRANGE(""https://docs.google.com/spreadsheets/d/1Y9Uv46r1nA3ixCGwTWZqhGQWDt4KVX4iXmhJgHL5CGQ"",""1-12每月!$E11"")"),16603.0)</f>
        <v>16603</v>
      </c>
      <c r="AM11" s="83">
        <f>IFERROR(__xludf.DUMMYFUNCTION("IMPORTRANGE(""https://docs.google.com/spreadsheets/d/1E3X732-CKfouAVQOwKyrePWwI1Bwg9NHD0VD42lyiu4/edit?gid=1513765949#gid=1513765949"",""1-12每月!$E11"")"),0.0)</f>
        <v>0</v>
      </c>
      <c r="AN11" s="115"/>
      <c r="AO11" s="115"/>
      <c r="AP11" s="115"/>
      <c r="AQ11" s="115"/>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IFERROR(__xludf.DUMMYFUNCTION("IMPORTRANGE(""https://docs.google.com/spreadsheets/d/1dffLfsI-BGVz-K0zdrsWfGaqrFfoLJAhq001merp6Rk/edit?usp=sharing"",""1-12每月!$H12"")"),5165.0)</f>
        <v>5165</v>
      </c>
      <c r="N12" s="83">
        <f>IFERROR(__xludf.DUMMYFUNCTION("IMPORTRANGE(""https://docs.google.com/spreadsheets/d/1SzxpZPUDnwxS8mSOLGEH5NbWU7ZW_VcRmIn7psOvuTs/edit#gid=1650312294?usp=sharing"",""1-12每月!$H12"")"),8560.0)</f>
        <v>8560</v>
      </c>
      <c r="O12" s="83">
        <f>IFERROR(__xludf.DUMMYFUNCTION("IMPORTRANGE(""https://docs.google.com/spreadsheets/d/1ta9i7cAkOPF0LapwmU_YEDA4IPQvKNuaYVMY8vIVPwI/edit#gid=1607741572?usp=sharing"",""1-12每月!$H12"")"),10557.0)</f>
        <v>10557</v>
      </c>
      <c r="P12" s="83">
        <f>IFERROR(__xludf.DUMMYFUNCTION("IMPORTRANGE(""https://docs.google.com/spreadsheets/d/1f4WWQfcNBonYqfzcaBhJlHzPwh34sx4U6naz-Aw2G4I/edit#gid=2097425894?usp=sharing"",""1-12每月!$E12"")"),13048.0)</f>
        <v>13048</v>
      </c>
      <c r="Q12" s="83">
        <f>IFERROR(__xludf.DUMMYFUNCTION("IMPORTRANGE(""https://docs.google.com/spreadsheets/d/1pCmmgCj7Y_SQPZLsiVd3yvND9oLyryVfBwNxC6OUwm8/edit#gid=170549058?usp=sharing"",""1-12每月!$E12"")"),14664.0)</f>
        <v>14664</v>
      </c>
      <c r="R12" s="83">
        <f>IFERROR(__xludf.DUMMYFUNCTION("IMPORTRANGE(""https://docs.google.com/spreadsheets/d/1hrRqxxacrLITR_JGMRVbhSRCIZIU8gAv0o_aOkHz68M/edit#gid=763155734?usp=sharing"",""1-12每月!$E12"")"),12676.0)</f>
        <v>12676</v>
      </c>
      <c r="S12" s="83">
        <f>IFERROR(__xludf.DUMMYFUNCTION("IMPORTRANGE(""https://docs.google.com/spreadsheets/d/1AKS3XWcgwNLFRbGU-lJ3UBHDQNdglvKwrv4_Bpp1IjU/edit#gid=73116376?usp=sharing"",""1-12每月!$D12"")"),5975.0)</f>
        <v>5975</v>
      </c>
      <c r="T12" s="83">
        <f>IFERROR(__xludf.DUMMYFUNCTION("IMPORTRANGE(""https://docs.google.com/spreadsheets/d/1wGGXGHkWT5JsjUDTy4FnHN_O9ae4MADbMykqIWVThNc/edit#gid=297806252?usp=sharing"",""1-12每月!$D12"")"),11105.0)</f>
        <v>11105</v>
      </c>
      <c r="U12" s="83">
        <f>IFERROR(__xludf.DUMMYFUNCTION("IMPORTRANGE(""https://docs.google.com/spreadsheets/d/1ShTgtQQDjMKpYx-TJ_lwdxnWSzJNUcNnzR3fJjoaZec/edit#gid=66107904?usp=sharing"",""1-12每月!$D12"")"),8741.0)</f>
        <v>8741</v>
      </c>
      <c r="V12" s="83">
        <f>IFERROR(__xludf.DUMMYFUNCTION("IMPORTRANGE(""https://docs.google.com/spreadsheets/d/1_eyuyKbXFCJd6fVFEKQwugwYCbRCmmWN_M7XR1dtOb8/edit#gid=951918895?usp=sharing"",""1-12每月!$D12"")"),5078.0)</f>
        <v>5078</v>
      </c>
      <c r="W12" s="83">
        <f>IFERROR(__xludf.DUMMYFUNCTION("IMPORTRANGE(""https://docs.google.com/spreadsheets/d/1yEpHI9_Y4w8sRmPP9C-mYK4NMfVuTJifGLMj4FMdqek/edit#gid=799087919?usp=sharing"",""1-12每月!$D12"")"),8848.0)</f>
        <v>8848</v>
      </c>
      <c r="X12" s="83">
        <f>IFERROR(__xludf.DUMMYFUNCTION("IMPORTRANGE(""https://docs.google.com/spreadsheets/d/1Vbyb9GlrY6jOwvoGyZFB96f7WXYjkT6gvTE37DPDXDI/edit#gid=9591526?usp=sharing"",""1-12每月!$D12"")"),8329.0)</f>
        <v>8329</v>
      </c>
      <c r="Y12" s="83">
        <f>IFERROR(__xludf.DUMMYFUNCTION("IMPORTRANGE(""https://docs.google.com/spreadsheets/d/1qeckoJwzWQAg8zQ80D-QJP4pnVYH6l2juaUyHtOu6y8/edit#gid=1905704096?usp=sharing"",""1-12每月!$D12"")"),7429.0)</f>
        <v>7429</v>
      </c>
      <c r="Z12" s="83">
        <f>IFERROR(__xludf.DUMMYFUNCTION("IMPORTRANGE(""https://docs.google.com/spreadsheets/d/1BcbIi7AD1VDpy_wMQ0YjCG-iuQy0_tkCVqr72a0Pwbg/edit#gid=1099513714?usp=sharing"",""1-12每月!$D12"")"),0.0)</f>
        <v>0</v>
      </c>
      <c r="AA12" s="83">
        <f>IFERROR(__xludf.DUMMYFUNCTION("IMPORTRANGE(""https://docs.google.com/spreadsheets/d/1cIFCQPaYiOmIt2O3vkEx5eto8sfRtx3JtAWJ1fv31HI/edit#gid=432689709?usp=sharing"",""1-12每月!$D12"")"),15632.0)</f>
        <v>15632</v>
      </c>
      <c r="AB12" s="83">
        <f>IFERROR(__xludf.DUMMYFUNCTION("IMPORTRANGE(""https://docs.google.com/spreadsheets/d/1C8ECYlbes2CJkHHGOAyOYVfrP7PdlGr8RMjK7KZd0_o/edit#gid=495469277?usp=sharing"",""1-12每月!$D12"")"),12607.0)</f>
        <v>12607</v>
      </c>
      <c r="AC12" s="83">
        <f>IFERROR(__xludf.DUMMYFUNCTION("IMPORTRANGE(""https://docs.google.com/spreadsheets/d/1ettcrhLPK6tkvHZxDTyU2bGIpGSi2ynG91ln0fqz9iE/edit#gid=1364213386?usp=sharing"",""1-12每月!$E12"")"),9721.0)</f>
        <v>9721</v>
      </c>
      <c r="AD12" s="83">
        <f>IFERROR(__xludf.DUMMYFUNCTION("IMPORTRANGE(""https://docs.google.com/spreadsheets/d/1xUhm-MtqzfUO8M5WEWVv9w2EFkv5_PHMOsAlA3CcCWU/edit#gid=1700470961?usp=sharing"",""1-12每月!$E12"")"),12898.0)</f>
        <v>12898</v>
      </c>
      <c r="AE12" s="83">
        <f>IFERROR(__xludf.DUMMYFUNCTION("IMPORTRANGE(""https://docs.google.com/spreadsheets/d/1DP8wl0QQLYSZ8R2aQ8wNmiAUXn7lVrqMsdTccpBmnQc/edit#gid=1145593933?usp=sharing"",""1-12每月!$E12"")"),12263.0)</f>
        <v>12263</v>
      </c>
      <c r="AF12" s="83">
        <f>IFERROR(__xludf.DUMMYFUNCTION("IMPORTRANGE(""https://docs.google.com/spreadsheets/d/17hbKAHrpKLEbG3r9s1Ay3fOGzvOBzSu3Bn_CD4JNLhY/edit#gid=756408948?usp=sharing"",""1-12每月!$E12"")"),9857.0)</f>
        <v>9857</v>
      </c>
      <c r="AG12" s="83">
        <f>IFERROR(__xludf.DUMMYFUNCTION("IMPORTRANGE(""https://docs.google.com/spreadsheets/d/1qeecSCKZ78ENQrsyUYpSNZqvo0-Y-uuGKFA1F06yLEM/edit#gid=874445072?usp=sharing"",""1-12每月!$E12"")"),63560.0)</f>
        <v>63560</v>
      </c>
      <c r="AH12" s="83">
        <f>IFERROR(__xludf.DUMMYFUNCTION("IMPORTRANGE(""https://docs.google.com/spreadsheets/d/1BSX0y1fIKw9-3VTr627UzGVjwKe74kwBkuFnvlaueNo/edit#gid=1113655470"",""1-12每月!$E12"")"),8470.0)</f>
        <v>8470</v>
      </c>
      <c r="AI12" s="83">
        <f>IFERROR(__xludf.DUMMYFUNCTION("IMPORTRANGE(""https://docs.google.com/spreadsheets/d/1bQzlrSGiVqBrfQ6FKnw67vhBELFgthonryGzmQabVFQ/edit#gid=1015697053?usp=sharing"",""1-12每月!$E12"")"),26338.0)</f>
        <v>26338</v>
      </c>
      <c r="AJ12" s="83">
        <f>IFERROR(__xludf.DUMMYFUNCTION("IMPORTRANGE(""https://docs.google.com/spreadsheets/d/1Pem-mgCz4CF6EUKNVxDQx16g9jie0F5YNDQ_cPnMHYs"",""1-12每月!$E12"")"),21498.0)</f>
        <v>21498</v>
      </c>
      <c r="AK12" s="83">
        <f>IFERROR(__xludf.DUMMYFUNCTION("IMPORTRANGE(""https://docs.google.com/spreadsheets/d/1ZoRtUl0m9T3TpY8H-9-ntNBO_zrYrgNKuAe_XfTeFnU"",""1-12每月!$E12"")"),24447.0)</f>
        <v>24447</v>
      </c>
      <c r="AL12" s="83">
        <f>IFERROR(__xludf.DUMMYFUNCTION("IMPORTRANGE(""https://docs.google.com/spreadsheets/d/1Y9Uv46r1nA3ixCGwTWZqhGQWDt4KVX4iXmhJgHL5CGQ"",""1-12每月!$E12"")"),20514.0)</f>
        <v>20514</v>
      </c>
      <c r="AM12" s="83">
        <f>IFERROR(__xludf.DUMMYFUNCTION("IMPORTRANGE(""https://docs.google.com/spreadsheets/d/1E3X732-CKfouAVQOwKyrePWwI1Bwg9NHD0VD42lyiu4/edit?gid=1513765949#gid=1513765949"",""1-12每月!$E12"")"),0.0)</f>
        <v>0</v>
      </c>
      <c r="AN12" s="115"/>
      <c r="AO12" s="115"/>
      <c r="AP12" s="115"/>
      <c r="AQ12" s="115"/>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IFERROR(__xludf.DUMMYFUNCTION("IMPORTRANGE(""https://docs.google.com/spreadsheets/d/1dffLfsI-BGVz-K0zdrsWfGaqrFfoLJAhq001merp6Rk/edit?usp=sharing"",""1-12每月!$H13"")"),3537.0)</f>
        <v>3537</v>
      </c>
      <c r="N13" s="83">
        <f>IFERROR(__xludf.DUMMYFUNCTION("IMPORTRANGE(""https://docs.google.com/spreadsheets/d/1SzxpZPUDnwxS8mSOLGEH5NbWU7ZW_VcRmIn7psOvuTs/edit#gid=1650312294?usp=sharing"",""1-12每月!$H13"")"),3708.0)</f>
        <v>3708</v>
      </c>
      <c r="O13" s="83">
        <f>IFERROR(__xludf.DUMMYFUNCTION("IMPORTRANGE(""https://docs.google.com/spreadsheets/d/1ta9i7cAkOPF0LapwmU_YEDA4IPQvKNuaYVMY8vIVPwI/edit#gid=1607741572?usp=sharing"",""1-12每月!$H13"")"),7575.0)</f>
        <v>7575</v>
      </c>
      <c r="P13" s="83">
        <f>IFERROR(__xludf.DUMMYFUNCTION("IMPORTRANGE(""https://docs.google.com/spreadsheets/d/1f4WWQfcNBonYqfzcaBhJlHzPwh34sx4U6naz-Aw2G4I/edit#gid=2097425894?usp=sharing"",""1-12每月!$E13"")"),5916.0)</f>
        <v>5916</v>
      </c>
      <c r="Q13" s="83">
        <f>IFERROR(__xludf.DUMMYFUNCTION("IMPORTRANGE(""https://docs.google.com/spreadsheets/d/1pCmmgCj7Y_SQPZLsiVd3yvND9oLyryVfBwNxC6OUwm8/edit#gid=170549058?usp=sharing"",""1-12每月!$E13"")"),8023.0)</f>
        <v>8023</v>
      </c>
      <c r="R13" s="83">
        <f>IFERROR(__xludf.DUMMYFUNCTION("IMPORTRANGE(""https://docs.google.com/spreadsheets/d/1hrRqxxacrLITR_JGMRVbhSRCIZIU8gAv0o_aOkHz68M/edit#gid=763155734?usp=sharing"",""1-12每月!$E13"")"),9717.0)</f>
        <v>9717</v>
      </c>
      <c r="S13" s="83">
        <f>IFERROR(__xludf.DUMMYFUNCTION("IMPORTRANGE(""https://docs.google.com/spreadsheets/d/1AKS3XWcgwNLFRbGU-lJ3UBHDQNdglvKwrv4_Bpp1IjU/edit#gid=73116376?usp=sharing"",""1-12每月!$D13"")"),6714.0)</f>
        <v>6714</v>
      </c>
      <c r="T13" s="83">
        <f>IFERROR(__xludf.DUMMYFUNCTION("IMPORTRANGE(""https://docs.google.com/spreadsheets/d/1wGGXGHkWT5JsjUDTy4FnHN_O9ae4MADbMykqIWVThNc/edit#gid=297806252?usp=sharing"",""1-12每月!$D13"")"),11080.0)</f>
        <v>11080</v>
      </c>
      <c r="U13" s="83">
        <f>IFERROR(__xludf.DUMMYFUNCTION("IMPORTRANGE(""https://docs.google.com/spreadsheets/d/1ShTgtQQDjMKpYx-TJ_lwdxnWSzJNUcNnzR3fJjoaZec/edit#gid=66107904?usp=sharing"",""1-12每月!$D13"")"),3778.0)</f>
        <v>3778</v>
      </c>
      <c r="V13" s="83">
        <f>IFERROR(__xludf.DUMMYFUNCTION("IMPORTRANGE(""https://docs.google.com/spreadsheets/d/1_eyuyKbXFCJd6fVFEKQwugwYCbRCmmWN_M7XR1dtOb8/edit#gid=951918895?usp=sharing"",""1-12每月!$D13"")"),3116.0)</f>
        <v>3116</v>
      </c>
      <c r="W13" s="83">
        <f>IFERROR(__xludf.DUMMYFUNCTION("IMPORTRANGE(""https://docs.google.com/spreadsheets/d/1yEpHI9_Y4w8sRmPP9C-mYK4NMfVuTJifGLMj4FMdqek/edit#gid=799087919?usp=sharing"",""1-12每月!$D13"")"),5175.0)</f>
        <v>5175</v>
      </c>
      <c r="X13" s="83">
        <f>IFERROR(__xludf.DUMMYFUNCTION("IMPORTRANGE(""https://docs.google.com/spreadsheets/d/1Vbyb9GlrY6jOwvoGyZFB96f7WXYjkT6gvTE37DPDXDI/edit#gid=9591526?usp=sharing"",""1-12每月!$D13"")"),6559.0)</f>
        <v>6559</v>
      </c>
      <c r="Y13" s="83">
        <f>IFERROR(__xludf.DUMMYFUNCTION("IMPORTRANGE(""https://docs.google.com/spreadsheets/d/1qeckoJwzWQAg8zQ80D-QJP4pnVYH6l2juaUyHtOu6y8/edit#gid=1905704096?usp=sharing"",""1-12每月!$D13"")"),0.0)</f>
        <v>0</v>
      </c>
      <c r="Z13" s="83">
        <f>IFERROR(__xludf.DUMMYFUNCTION("IMPORTRANGE(""https://docs.google.com/spreadsheets/d/1BcbIi7AD1VDpy_wMQ0YjCG-iuQy0_tkCVqr72a0Pwbg/edit#gid=1099513714?usp=sharing"",""1-12每月!$D13"")"),0.0)</f>
        <v>0</v>
      </c>
      <c r="AA13" s="83">
        <f>IFERROR(__xludf.DUMMYFUNCTION("IMPORTRANGE(""https://docs.google.com/spreadsheets/d/1cIFCQPaYiOmIt2O3vkEx5eto8sfRtx3JtAWJ1fv31HI/edit#gid=432689709?usp=sharing"",""1-12每月!$D13"")"),9502.0)</f>
        <v>9502</v>
      </c>
      <c r="AB13" s="83">
        <f>IFERROR(__xludf.DUMMYFUNCTION("IMPORTRANGE(""https://docs.google.com/spreadsheets/d/1C8ECYlbes2CJkHHGOAyOYVfrP7PdlGr8RMjK7KZd0_o/edit#gid=495469277?usp=sharing"",""1-12每月!$D13"")"),7279.0)</f>
        <v>7279</v>
      </c>
      <c r="AC13" s="83">
        <f>IFERROR(__xludf.DUMMYFUNCTION("IMPORTRANGE(""https://docs.google.com/spreadsheets/d/1ettcrhLPK6tkvHZxDTyU2bGIpGSi2ynG91ln0fqz9iE/edit#gid=1364213386?usp=sharing"",""1-12每月!$E13"")"),5951.0)</f>
        <v>5951</v>
      </c>
      <c r="AD13" s="83">
        <f>IFERROR(__xludf.DUMMYFUNCTION("IMPORTRANGE(""https://docs.google.com/spreadsheets/d/1xUhm-MtqzfUO8M5WEWVv9w2EFkv5_PHMOsAlA3CcCWU/edit#gid=1700470961?usp=sharing"",""1-12每月!$E13"")"),6216.0)</f>
        <v>6216</v>
      </c>
      <c r="AE13" s="83">
        <f>IFERROR(__xludf.DUMMYFUNCTION("IMPORTRANGE(""https://docs.google.com/spreadsheets/d/1DP8wl0QQLYSZ8R2aQ8wNmiAUXn7lVrqMsdTccpBmnQc/edit#gid=1145593933?usp=sharing"",""1-12每月!$E13"")"),0.0)</f>
        <v>0</v>
      </c>
      <c r="AF13" s="83">
        <f>IFERROR(__xludf.DUMMYFUNCTION("IMPORTRANGE(""https://docs.google.com/spreadsheets/d/17hbKAHrpKLEbG3r9s1Ay3fOGzvOBzSu3Bn_CD4JNLhY/edit#gid=756408948?usp=sharing"",""1-12每月!$E13"")"),8124.0)</f>
        <v>8124</v>
      </c>
      <c r="AG13" s="83">
        <f>IFERROR(__xludf.DUMMYFUNCTION("IMPORTRANGE(""https://docs.google.com/spreadsheets/d/1qeecSCKZ78ENQrsyUYpSNZqvo0-Y-uuGKFA1F06yLEM/edit#gid=874445072?usp=sharing"",""1-12每月!$E13"")"),81669.0)</f>
        <v>81669</v>
      </c>
      <c r="AH13" s="83">
        <f>IFERROR(__xludf.DUMMYFUNCTION("IMPORTRANGE(""https://docs.google.com/spreadsheets/d/1BSX0y1fIKw9-3VTr627UzGVjwKe74kwBkuFnvlaueNo/edit#gid=1113655470"",""1-12每月!$E13"")"),21679.0)</f>
        <v>21679</v>
      </c>
      <c r="AI13" s="83">
        <f>IFERROR(__xludf.DUMMYFUNCTION("IMPORTRANGE(""https://docs.google.com/spreadsheets/d/1bQzlrSGiVqBrfQ6FKnw67vhBELFgthonryGzmQabVFQ/edit#gid=1015697053?usp=sharing"",""1-12每月!$E13"")"),28034.0)</f>
        <v>28034</v>
      </c>
      <c r="AJ13" s="83">
        <f>IFERROR(__xludf.DUMMYFUNCTION("IMPORTRANGE(""https://docs.google.com/spreadsheets/d/1Pem-mgCz4CF6EUKNVxDQx16g9jie0F5YNDQ_cPnMHYs"",""1-12每月!$E13"")"),20648.0)</f>
        <v>20648</v>
      </c>
      <c r="AK13" s="83">
        <f>IFERROR(__xludf.DUMMYFUNCTION("IMPORTRANGE(""https://docs.google.com/spreadsheets/d/1ZoRtUl0m9T3TpY8H-9-ntNBO_zrYrgNKuAe_XfTeFnU"",""1-12每月!$E13"")"),20875.0)</f>
        <v>20875</v>
      </c>
      <c r="AL13" s="83">
        <f>IFERROR(__xludf.DUMMYFUNCTION("IMPORTRANGE(""https://docs.google.com/spreadsheets/d/1Y9Uv46r1nA3ixCGwTWZqhGQWDt4KVX4iXmhJgHL5CGQ"",""1-12每月!$E13"")"),17944.0)</f>
        <v>17944</v>
      </c>
      <c r="AM13" s="83">
        <f>IFERROR(__xludf.DUMMYFUNCTION("IMPORTRANGE(""https://docs.google.com/spreadsheets/d/1E3X732-CKfouAVQOwKyrePWwI1Bwg9NHD0VD42lyiu4/edit?gid=1513765949#gid=1513765949"",""1-12每月!$E13"")"),0.0)</f>
        <v>0</v>
      </c>
      <c r="AN13" s="115"/>
      <c r="AO13" s="115"/>
      <c r="AP13" s="115"/>
      <c r="AQ13" s="115"/>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IFERROR(__xludf.DUMMYFUNCTION("IMPORTRANGE(""https://docs.google.com/spreadsheets/d/1dffLfsI-BGVz-K0zdrsWfGaqrFfoLJAhq001merp6Rk/edit?usp=sharing"",""1-12每月!$H14"")"),5281.0)</f>
        <v>5281</v>
      </c>
      <c r="N14" s="83">
        <f>IFERROR(__xludf.DUMMYFUNCTION("IMPORTRANGE(""https://docs.google.com/spreadsheets/d/1SzxpZPUDnwxS8mSOLGEH5NbWU7ZW_VcRmIn7psOvuTs/edit#gid=1650312294?usp=sharing"",""1-12每月!$H14"")"),6665.0)</f>
        <v>6665</v>
      </c>
      <c r="O14" s="83">
        <f>IFERROR(__xludf.DUMMYFUNCTION("IMPORTRANGE(""https://docs.google.com/spreadsheets/d/1ta9i7cAkOPF0LapwmU_YEDA4IPQvKNuaYVMY8vIVPwI/edit#gid=1607741572?usp=sharing"",""1-12每月!$H14"")"),8260.0)</f>
        <v>8260</v>
      </c>
      <c r="P14" s="83">
        <f>IFERROR(__xludf.DUMMYFUNCTION("IMPORTRANGE(""https://docs.google.com/spreadsheets/d/1f4WWQfcNBonYqfzcaBhJlHzPwh34sx4U6naz-Aw2G4I/edit#gid=2097425894?usp=sharing"",""1-12每月!$E14"")"),7633.0)</f>
        <v>7633</v>
      </c>
      <c r="Q14" s="83">
        <f>IFERROR(__xludf.DUMMYFUNCTION("IMPORTRANGE(""https://docs.google.com/spreadsheets/d/1pCmmgCj7Y_SQPZLsiVd3yvND9oLyryVfBwNxC6OUwm8/edit#gid=170549058?usp=sharing"",""1-12每月!$E14"")"),11617.0)</f>
        <v>11617</v>
      </c>
      <c r="R14" s="83">
        <f>IFERROR(__xludf.DUMMYFUNCTION("IMPORTRANGE(""https://docs.google.com/spreadsheets/d/1hrRqxxacrLITR_JGMRVbhSRCIZIU8gAv0o_aOkHz68M/edit#gid=763155734?usp=sharing"",""1-12每月!$E14"")"),15326.0)</f>
        <v>15326</v>
      </c>
      <c r="S14" s="83">
        <f>IFERROR(__xludf.DUMMYFUNCTION("IMPORTRANGE(""https://docs.google.com/spreadsheets/d/1AKS3XWcgwNLFRbGU-lJ3UBHDQNdglvKwrv4_Bpp1IjU/edit#gid=73116376?usp=sharing"",""1-12每月!$D14"")"),8417.0)</f>
        <v>8417</v>
      </c>
      <c r="T14" s="83">
        <f>IFERROR(__xludf.DUMMYFUNCTION("IMPORTRANGE(""https://docs.google.com/spreadsheets/d/1wGGXGHkWT5JsjUDTy4FnHN_O9ae4MADbMykqIWVThNc/edit#gid=297806252?usp=sharing"",""1-12每月!$D14"")"),6618.0)</f>
        <v>6618</v>
      </c>
      <c r="U14" s="83">
        <f>IFERROR(__xludf.DUMMYFUNCTION("IMPORTRANGE(""https://docs.google.com/spreadsheets/d/1ShTgtQQDjMKpYx-TJ_lwdxnWSzJNUcNnzR3fJjoaZec/edit#gid=66107904?usp=sharing"",""1-12每月!$D14"")"),6830.0)</f>
        <v>6830</v>
      </c>
      <c r="V14" s="83">
        <f>IFERROR(__xludf.DUMMYFUNCTION("IMPORTRANGE(""https://docs.google.com/spreadsheets/d/1_eyuyKbXFCJd6fVFEKQwugwYCbRCmmWN_M7XR1dtOb8/edit#gid=951918895?usp=sharing"",""1-12每月!$D14"")"),4540.0)</f>
        <v>4540</v>
      </c>
      <c r="W14" s="83">
        <f>IFERROR(__xludf.DUMMYFUNCTION("IMPORTRANGE(""https://docs.google.com/spreadsheets/d/1yEpHI9_Y4w8sRmPP9C-mYK4NMfVuTJifGLMj4FMdqek/edit#gid=799087919?usp=sharing"",""1-12每月!$D14"")"),4879.0)</f>
        <v>4879</v>
      </c>
      <c r="X14" s="83">
        <f>IFERROR(__xludf.DUMMYFUNCTION("IMPORTRANGE(""https://docs.google.com/spreadsheets/d/1Vbyb9GlrY6jOwvoGyZFB96f7WXYjkT6gvTE37DPDXDI/edit#gid=9591526?usp=sharing"",""1-12每月!$D14"")"),6960.0)</f>
        <v>6960</v>
      </c>
      <c r="Y14" s="83">
        <f>IFERROR(__xludf.DUMMYFUNCTION("IMPORTRANGE(""https://docs.google.com/spreadsheets/d/1qeckoJwzWQAg8zQ80D-QJP4pnVYH6l2juaUyHtOu6y8/edit#gid=1905704096?usp=sharing"",""1-12每月!$D14"")"),0.0)</f>
        <v>0</v>
      </c>
      <c r="Z14" s="83">
        <f>IFERROR(__xludf.DUMMYFUNCTION("IMPORTRANGE(""https://docs.google.com/spreadsheets/d/1BcbIi7AD1VDpy_wMQ0YjCG-iuQy0_tkCVqr72a0Pwbg/edit#gid=1099513714?usp=sharing"",""1-12每月!$D14"")"),0.0)</f>
        <v>0</v>
      </c>
      <c r="AA14" s="83">
        <f>IFERROR(__xludf.DUMMYFUNCTION("IMPORTRANGE(""https://docs.google.com/spreadsheets/d/1cIFCQPaYiOmIt2O3vkEx5eto8sfRtx3JtAWJ1fv31HI/edit#gid=432689709?usp=sharing"",""1-12每月!$D14"")"),12855.0)</f>
        <v>12855</v>
      </c>
      <c r="AB14" s="83">
        <f>IFERROR(__xludf.DUMMYFUNCTION("IMPORTRANGE(""https://docs.google.com/spreadsheets/d/1C8ECYlbes2CJkHHGOAyOYVfrP7PdlGr8RMjK7KZd0_o/edit#gid=495469277?usp=sharing"",""1-12每月!$D14"")"),9886.0)</f>
        <v>9886</v>
      </c>
      <c r="AC14" s="83">
        <f>IFERROR(__xludf.DUMMYFUNCTION("IMPORTRANGE(""https://docs.google.com/spreadsheets/d/1ettcrhLPK6tkvHZxDTyU2bGIpGSi2ynG91ln0fqz9iE/edit#gid=1364213386?usp=sharing"",""1-12每月!$E14"")"),7905.0)</f>
        <v>7905</v>
      </c>
      <c r="AD14" s="83">
        <f>IFERROR(__xludf.DUMMYFUNCTION("IMPORTRANGE(""https://docs.google.com/spreadsheets/d/1xUhm-MtqzfUO8M5WEWVv9w2EFkv5_PHMOsAlA3CcCWU/edit#gid=1700470961?usp=sharing"",""1-12每月!$E14"")"),8715.0)</f>
        <v>8715</v>
      </c>
      <c r="AE14" s="83">
        <f>IFERROR(__xludf.DUMMYFUNCTION("IMPORTRANGE(""https://docs.google.com/spreadsheets/d/1DP8wl0QQLYSZ8R2aQ8wNmiAUXn7lVrqMsdTccpBmnQc/edit#gid=1145593933?usp=sharing"",""1-12每月!$E14"")"),0.0)</f>
        <v>0</v>
      </c>
      <c r="AF14" s="83">
        <f>IFERROR(__xludf.DUMMYFUNCTION("IMPORTRANGE(""https://docs.google.com/spreadsheets/d/17hbKAHrpKLEbG3r9s1Ay3fOGzvOBzSu3Bn_CD4JNLhY/edit#gid=756408948?usp=sharing"",""1-12每月!$E14"")"),8239.0)</f>
        <v>8239</v>
      </c>
      <c r="AG14" s="83">
        <f>IFERROR(__xludf.DUMMYFUNCTION("IMPORTRANGE(""https://docs.google.com/spreadsheets/d/1qeecSCKZ78ENQrsyUYpSNZqvo0-Y-uuGKFA1F06yLEM/edit#gid=874445072?usp=sharing"",""1-12每月!$E14"")"),86298.0)</f>
        <v>86298</v>
      </c>
      <c r="AH14" s="83">
        <f>IFERROR(__xludf.DUMMYFUNCTION("IMPORTRANGE(""https://docs.google.com/spreadsheets/d/1BSX0y1fIKw9-3VTr627UzGVjwKe74kwBkuFnvlaueNo/edit#gid=1113655470"",""1-12每月!$E14"")"),32415.0)</f>
        <v>32415</v>
      </c>
      <c r="AI14" s="83">
        <f>IFERROR(__xludf.DUMMYFUNCTION("IMPORTRANGE(""https://docs.google.com/spreadsheets/d/1bQzlrSGiVqBrfQ6FKnw67vhBELFgthonryGzmQabVFQ/edit#gid=1015697053?usp=sharing"",""1-12每月!$E14"")"),17560.0)</f>
        <v>17560</v>
      </c>
      <c r="AJ14" s="83">
        <f>IFERROR(__xludf.DUMMYFUNCTION("IMPORTRANGE(""https://docs.google.com/spreadsheets/d/1Pem-mgCz4CF6EUKNVxDQx16g9jie0F5YNDQ_cPnMHYs"",""1-12每月!$E14"")"),20646.0)</f>
        <v>20646</v>
      </c>
      <c r="AK14" s="83">
        <f>IFERROR(__xludf.DUMMYFUNCTION("IMPORTRANGE(""https://docs.google.com/spreadsheets/d/1ZoRtUl0m9T3TpY8H-9-ntNBO_zrYrgNKuAe_XfTeFnU"",""1-12每月!$E14"")"),14405.0)</f>
        <v>14405</v>
      </c>
      <c r="AL14" s="83">
        <f>IFERROR(__xludf.DUMMYFUNCTION("IMPORTRANGE(""https://docs.google.com/spreadsheets/d/1Y9Uv46r1nA3ixCGwTWZqhGQWDt4KVX4iXmhJgHL5CGQ"",""1-12每月!$E14"")"),19286.0)</f>
        <v>19286</v>
      </c>
      <c r="AM14" s="83">
        <f>IFERROR(__xludf.DUMMYFUNCTION("IMPORTRANGE(""https://docs.google.com/spreadsheets/d/1E3X732-CKfouAVQOwKyrePWwI1Bwg9NHD0VD42lyiu4/edit?gid=1513765949#gid=1513765949"",""1-12每月!$E14"")"),0.0)</f>
        <v>0</v>
      </c>
      <c r="AN14" s="115"/>
      <c r="AO14" s="115"/>
      <c r="AP14" s="115"/>
      <c r="AQ14" s="115"/>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IFERROR(__xludf.DUMMYFUNCTION("IMPORTRANGE(""https://docs.google.com/spreadsheets/d/1dffLfsI-BGVz-K0zdrsWfGaqrFfoLJAhq001merp6Rk/edit?usp=sharing"",""1-12每月!$H15"")"),7257.0)</f>
        <v>7257</v>
      </c>
      <c r="N15" s="83">
        <f>IFERROR(__xludf.DUMMYFUNCTION("IMPORTRANGE(""https://docs.google.com/spreadsheets/d/1SzxpZPUDnwxS8mSOLGEH5NbWU7ZW_VcRmIn7psOvuTs/edit#gid=1650312294?usp=sharing"",""1-12每月!$H15"")"),8166.0)</f>
        <v>8166</v>
      </c>
      <c r="O15" s="83">
        <f>IFERROR(__xludf.DUMMYFUNCTION("IMPORTRANGE(""https://docs.google.com/spreadsheets/d/1ta9i7cAkOPF0LapwmU_YEDA4IPQvKNuaYVMY8vIVPwI/edit#gid=1607741572?usp=sharing"",""1-12每月!$H15"")"),16164.0)</f>
        <v>16164</v>
      </c>
      <c r="P15" s="83">
        <f>IFERROR(__xludf.DUMMYFUNCTION("IMPORTRANGE(""https://docs.google.com/spreadsheets/d/1f4WWQfcNBonYqfzcaBhJlHzPwh34sx4U6naz-Aw2G4I/edit#gid=2097425894?usp=sharing"",""1-12每月!$E15"")"),11128.0)</f>
        <v>11128</v>
      </c>
      <c r="Q15" s="83">
        <f>IFERROR(__xludf.DUMMYFUNCTION("IMPORTRANGE(""https://docs.google.com/spreadsheets/d/1pCmmgCj7Y_SQPZLsiVd3yvND9oLyryVfBwNxC6OUwm8/edit#gid=170549058?usp=sharing"",""1-12每月!$E15"")"),17078.0)</f>
        <v>17078</v>
      </c>
      <c r="R15" s="83">
        <f>IFERROR(__xludf.DUMMYFUNCTION("IMPORTRANGE(""https://docs.google.com/spreadsheets/d/1hrRqxxacrLITR_JGMRVbhSRCIZIU8gAv0o_aOkHz68M/edit#gid=763155734?usp=sharing"",""1-12每月!$E15"")"),15104.0)</f>
        <v>15104</v>
      </c>
      <c r="S15" s="83">
        <f>IFERROR(__xludf.DUMMYFUNCTION("IMPORTRANGE(""https://docs.google.com/spreadsheets/d/1AKS3XWcgwNLFRbGU-lJ3UBHDQNdglvKwrv4_Bpp1IjU/edit#gid=73116376?usp=sharing"",""1-12每月!$D15"")"),11246.0)</f>
        <v>11246</v>
      </c>
      <c r="T15" s="83">
        <f>IFERROR(__xludf.DUMMYFUNCTION("IMPORTRANGE(""https://docs.google.com/spreadsheets/d/1wGGXGHkWT5JsjUDTy4FnHN_O9ae4MADbMykqIWVThNc/edit#gid=297806252?usp=sharing"",""1-12每月!$D15"")"),7121.0)</f>
        <v>7121</v>
      </c>
      <c r="U15" s="83">
        <f>IFERROR(__xludf.DUMMYFUNCTION("IMPORTRANGE(""https://docs.google.com/spreadsheets/d/1ShTgtQQDjMKpYx-TJ_lwdxnWSzJNUcNnzR3fJjoaZec/edit#gid=66107904?usp=sharing"",""1-12每月!$D15"")"),6036.0)</f>
        <v>6036</v>
      </c>
      <c r="V15" s="83">
        <f>IFERROR(__xludf.DUMMYFUNCTION("IMPORTRANGE(""https://docs.google.com/spreadsheets/d/1_eyuyKbXFCJd6fVFEKQwugwYCbRCmmWN_M7XR1dtOb8/edit#gid=951918895?usp=sharing"",""1-12每月!$D15"")"),5585.0)</f>
        <v>5585</v>
      </c>
      <c r="W15" s="83">
        <f>IFERROR(__xludf.DUMMYFUNCTION("IMPORTRANGE(""https://docs.google.com/spreadsheets/d/1yEpHI9_Y4w8sRmPP9C-mYK4NMfVuTJifGLMj4FMdqek/edit#gid=799087919?usp=sharing"",""1-12每月!$D15"")"),4656.0)</f>
        <v>4656</v>
      </c>
      <c r="X15" s="83">
        <f>IFERROR(__xludf.DUMMYFUNCTION("IMPORTRANGE(""https://docs.google.com/spreadsheets/d/1Vbyb9GlrY6jOwvoGyZFB96f7WXYjkT6gvTE37DPDXDI/edit#gid=9591526?usp=sharing"",""1-12每月!$D15"")"),6507.0)</f>
        <v>6507</v>
      </c>
      <c r="Y15" s="83">
        <f>IFERROR(__xludf.DUMMYFUNCTION("IMPORTRANGE(""https://docs.google.com/spreadsheets/d/1qeckoJwzWQAg8zQ80D-QJP4pnVYH6l2juaUyHtOu6y8/edit#gid=1905704096?usp=sharing"",""1-12每月!$D15"")"),0.0)</f>
        <v>0</v>
      </c>
      <c r="Z15" s="83">
        <f>IFERROR(__xludf.DUMMYFUNCTION("IMPORTRANGE(""https://docs.google.com/spreadsheets/d/1BcbIi7AD1VDpy_wMQ0YjCG-iuQy0_tkCVqr72a0Pwbg/edit#gid=1099513714?usp=sharing"",""1-12每月!$D15"")"),0.0)</f>
        <v>0</v>
      </c>
      <c r="AA15" s="83">
        <f>IFERROR(__xludf.DUMMYFUNCTION("IMPORTRANGE(""https://docs.google.com/spreadsheets/d/1cIFCQPaYiOmIt2O3vkEx5eto8sfRtx3JtAWJ1fv31HI/edit#gid=432689709?usp=sharing"",""1-12每月!$D15"")"),10615.0)</f>
        <v>10615</v>
      </c>
      <c r="AB15" s="83">
        <f>IFERROR(__xludf.DUMMYFUNCTION("IMPORTRANGE(""https://docs.google.com/spreadsheets/d/1C8ECYlbes2CJkHHGOAyOYVfrP7PdlGr8RMjK7KZd0_o/edit#gid=495469277?usp=sharing"",""1-12每月!$D15"")"),9469.0)</f>
        <v>9469</v>
      </c>
      <c r="AC15" s="83">
        <f>IFERROR(__xludf.DUMMYFUNCTION("IMPORTRANGE(""https://docs.google.com/spreadsheets/d/1ettcrhLPK6tkvHZxDTyU2bGIpGSi2ynG91ln0fqz9iE/edit#gid=1364213386?usp=sharing"",""1-12每月!$E15"")"),7834.0)</f>
        <v>7834</v>
      </c>
      <c r="AD15" s="83">
        <f>IFERROR(__xludf.DUMMYFUNCTION("IMPORTRANGE(""https://docs.google.com/spreadsheets/d/1xUhm-MtqzfUO8M5WEWVv9w2EFkv5_PHMOsAlA3CcCWU/edit#gid=1700470961?usp=sharing"",""1-12每月!$E15"")"),7547.0)</f>
        <v>7547</v>
      </c>
      <c r="AE15" s="83">
        <f>IFERROR(__xludf.DUMMYFUNCTION("IMPORTRANGE(""https://docs.google.com/spreadsheets/d/1DP8wl0QQLYSZ8R2aQ8wNmiAUXn7lVrqMsdTccpBmnQc/edit#gid=1145593933?usp=sharing"",""1-12每月!$E15"")"),0.0)</f>
        <v>0</v>
      </c>
      <c r="AF15" s="83">
        <f>IFERROR(__xludf.DUMMYFUNCTION("IMPORTRANGE(""https://docs.google.com/spreadsheets/d/17hbKAHrpKLEbG3r9s1Ay3fOGzvOBzSu3Bn_CD4JNLhY/edit#gid=756408948?usp=sharing"",""1-12每月!$E15"")"),6457.0)</f>
        <v>6457</v>
      </c>
      <c r="AG15" s="83">
        <f>IFERROR(__xludf.DUMMYFUNCTION("IMPORTRANGE(""https://docs.google.com/spreadsheets/d/1qeecSCKZ78ENQrsyUYpSNZqvo0-Y-uuGKFA1F06yLEM/edit#gid=874445072?usp=sharing"",""1-12每月!$E15"")"),66868.0)</f>
        <v>66868</v>
      </c>
      <c r="AH15" s="83">
        <f>IFERROR(__xludf.DUMMYFUNCTION("IMPORTRANGE(""https://docs.google.com/spreadsheets/d/1BSX0y1fIKw9-3VTr627UzGVjwKe74kwBkuFnvlaueNo/edit#gid=1113655470"",""1-12每月!$E15"")"),17053.0)</f>
        <v>17053</v>
      </c>
      <c r="AI15" s="83">
        <f>IFERROR(__xludf.DUMMYFUNCTION("IMPORTRANGE(""https://docs.google.com/spreadsheets/d/1bQzlrSGiVqBrfQ6FKnw67vhBELFgthonryGzmQabVFQ/edit#gid=1015697053?usp=sharing"",""1-12每月!$E15"")"),25500.0)</f>
        <v>25500</v>
      </c>
      <c r="AJ15" s="83">
        <f>IFERROR(__xludf.DUMMYFUNCTION("IMPORTRANGE(""https://docs.google.com/spreadsheets/d/1Pem-mgCz4CF6EUKNVxDQx16g9jie0F5YNDQ_cPnMHYs"",""1-12每月!$E15"")"),19351.0)</f>
        <v>19351</v>
      </c>
      <c r="AK15" s="83">
        <f>IFERROR(__xludf.DUMMYFUNCTION("IMPORTRANGE(""https://docs.google.com/spreadsheets/d/1ZoRtUl0m9T3TpY8H-9-ntNBO_zrYrgNKuAe_XfTeFnU"",""1-12每月!$E15"")"),16176.0)</f>
        <v>16176</v>
      </c>
      <c r="AL15" s="83">
        <f>IFERROR(__xludf.DUMMYFUNCTION("IMPORTRANGE(""https://docs.google.com/spreadsheets/d/1Y9Uv46r1nA3ixCGwTWZqhGQWDt4KVX4iXmhJgHL5CGQ"",""1-12每月!$E15"")"),15996.0)</f>
        <v>15996</v>
      </c>
      <c r="AM15" s="83">
        <f>IFERROR(__xludf.DUMMYFUNCTION("IMPORTRANGE(""https://docs.google.com/spreadsheets/d/1E3X732-CKfouAVQOwKyrePWwI1Bwg9NHD0VD42lyiu4/edit?gid=1513765949#gid=1513765949"",""1-12每月!$E15"")"),0.0)</f>
        <v>0</v>
      </c>
      <c r="AN15" s="115"/>
      <c r="AO15" s="115"/>
      <c r="AP15" s="115"/>
      <c r="AQ15" s="115"/>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IFERROR(__xludf.DUMMYFUNCTION("IMPORTRANGE(""https://docs.google.com/spreadsheets/d/1dffLfsI-BGVz-K0zdrsWfGaqrFfoLJAhq001merp6Rk/edit?usp=sharing"",""1-12每月!$H16"")"),9867.0)</f>
        <v>9867</v>
      </c>
      <c r="N16" s="83">
        <f>IFERROR(__xludf.DUMMYFUNCTION("IMPORTRANGE(""https://docs.google.com/spreadsheets/d/1SzxpZPUDnwxS8mSOLGEH5NbWU7ZW_VcRmIn7psOvuTs/edit#gid=1650312294?usp=sharing"",""1-12每月!$H16"")"),6025.0)</f>
        <v>6025</v>
      </c>
      <c r="O16" s="83">
        <f>IFERROR(__xludf.DUMMYFUNCTION("IMPORTRANGE(""https://docs.google.com/spreadsheets/d/1ta9i7cAkOPF0LapwmU_YEDA4IPQvKNuaYVMY8vIVPwI/edit#gid=1607741572?usp=sharing"",""1-12每月!$H16"")"),5501.0)</f>
        <v>5501</v>
      </c>
      <c r="P16" s="83">
        <f>IFERROR(__xludf.DUMMYFUNCTION("IMPORTRANGE(""https://docs.google.com/spreadsheets/d/1f4WWQfcNBonYqfzcaBhJlHzPwh34sx4U6naz-Aw2G4I/edit#gid=2097425894?usp=sharing"",""1-12每月!$E16"")"),7340.0)</f>
        <v>7340</v>
      </c>
      <c r="Q16" s="83">
        <f>IFERROR(__xludf.DUMMYFUNCTION("IMPORTRANGE(""https://docs.google.com/spreadsheets/d/1pCmmgCj7Y_SQPZLsiVd3yvND9oLyryVfBwNxC6OUwm8/edit#gid=170549058?usp=sharing"",""1-12每月!$E16"")"),9231.0)</f>
        <v>9231</v>
      </c>
      <c r="R16" s="83">
        <f>IFERROR(__xludf.DUMMYFUNCTION("IMPORTRANGE(""https://docs.google.com/spreadsheets/d/1hrRqxxacrLITR_JGMRVbhSRCIZIU8gAv0o_aOkHz68M/edit#gid=763155734?usp=sharing"",""1-12每月!$E16"")"),11978.0)</f>
        <v>11978</v>
      </c>
      <c r="S16" s="83">
        <f>IFERROR(__xludf.DUMMYFUNCTION("IMPORTRANGE(""https://docs.google.com/spreadsheets/d/1AKS3XWcgwNLFRbGU-lJ3UBHDQNdglvKwrv4_Bpp1IjU/edit#gid=73116376?usp=sharing"",""1-12每月!$D16"")"),8451.0)</f>
        <v>8451</v>
      </c>
      <c r="T16" s="83">
        <f>IFERROR(__xludf.DUMMYFUNCTION("IMPORTRANGE(""https://docs.google.com/spreadsheets/d/1wGGXGHkWT5JsjUDTy4FnHN_O9ae4MADbMykqIWVThNc/edit#gid=297806252?usp=sharing"",""1-12每月!$D16"")"),7409.0)</f>
        <v>7409</v>
      </c>
      <c r="U16" s="83">
        <f>IFERROR(__xludf.DUMMYFUNCTION("IMPORTRANGE(""https://docs.google.com/spreadsheets/d/1ShTgtQQDjMKpYx-TJ_lwdxnWSzJNUcNnzR3fJjoaZec/edit#gid=66107904?usp=sharing"",""1-12每月!$D16"")"),6176.0)</f>
        <v>6176</v>
      </c>
      <c r="V16" s="83">
        <f>IFERROR(__xludf.DUMMYFUNCTION("IMPORTRANGE(""https://docs.google.com/spreadsheets/d/1_eyuyKbXFCJd6fVFEKQwugwYCbRCmmWN_M7XR1dtOb8/edit#gid=951918895?usp=sharing"",""1-12每月!$D16"")"),4460.0)</f>
        <v>4460</v>
      </c>
      <c r="W16" s="83">
        <f>IFERROR(__xludf.DUMMYFUNCTION("IMPORTRANGE(""https://docs.google.com/spreadsheets/d/1yEpHI9_Y4w8sRmPP9C-mYK4NMfVuTJifGLMj4FMdqek/edit#gid=799087919?usp=sharing"",""1-12每月!$D16"")"),4865.0)</f>
        <v>4865</v>
      </c>
      <c r="X16" s="83">
        <f>IFERROR(__xludf.DUMMYFUNCTION("IMPORTRANGE(""https://docs.google.com/spreadsheets/d/1Vbyb9GlrY6jOwvoGyZFB96f7WXYjkT6gvTE37DPDXDI/edit#gid=9591526?usp=sharing"",""1-12每月!$D16"")"),3978.0)</f>
        <v>3978</v>
      </c>
      <c r="Y16" s="83">
        <f>IFERROR(__xludf.DUMMYFUNCTION("IMPORTRANGE(""https://docs.google.com/spreadsheets/d/1qeckoJwzWQAg8zQ80D-QJP4pnVYH6l2juaUyHtOu6y8/edit#gid=1905704096?usp=sharing"",""1-12每月!$D16"")"),0.0)</f>
        <v>0</v>
      </c>
      <c r="Z16" s="83">
        <f>IFERROR(__xludf.DUMMYFUNCTION("IMPORTRANGE(""https://docs.google.com/spreadsheets/d/1BcbIi7AD1VDpy_wMQ0YjCG-iuQy0_tkCVqr72a0Pwbg/edit#gid=1099513714?usp=sharing"",""1-12每月!$D16"")"),8287.0)</f>
        <v>8287</v>
      </c>
      <c r="AA16" s="83">
        <f>IFERROR(__xludf.DUMMYFUNCTION("IMPORTRANGE(""https://docs.google.com/spreadsheets/d/1cIFCQPaYiOmIt2O3vkEx5eto8sfRtx3JtAWJ1fv31HI/edit#gid=432689709?usp=sharing"",""1-12每月!$D16"")"),9081.0)</f>
        <v>9081</v>
      </c>
      <c r="AB16" s="83">
        <f>IFERROR(__xludf.DUMMYFUNCTION("IMPORTRANGE(""https://docs.google.com/spreadsheets/d/1C8ECYlbes2CJkHHGOAyOYVfrP7PdlGr8RMjK7KZd0_o/edit#gid=495469277?usp=sharing"",""1-12每月!$D16"")"),7856.0)</f>
        <v>7856</v>
      </c>
      <c r="AC16" s="83">
        <f>IFERROR(__xludf.DUMMYFUNCTION("IMPORTRANGE(""https://docs.google.com/spreadsheets/d/1ettcrhLPK6tkvHZxDTyU2bGIpGSi2ynG91ln0fqz9iE/edit#gid=1364213386?usp=sharing"",""1-12每月!$E16"")"),8051.0)</f>
        <v>8051</v>
      </c>
      <c r="AD16" s="83">
        <f>IFERROR(__xludf.DUMMYFUNCTION("IMPORTRANGE(""https://docs.google.com/spreadsheets/d/1xUhm-MtqzfUO8M5WEWVv9w2EFkv5_PHMOsAlA3CcCWU/edit#gid=1700470961?usp=sharing"",""1-12每月!$E16"")"),7311.0)</f>
        <v>7311</v>
      </c>
      <c r="AE16" s="83">
        <f>IFERROR(__xludf.DUMMYFUNCTION("IMPORTRANGE(""https://docs.google.com/spreadsheets/d/1DP8wl0QQLYSZ8R2aQ8wNmiAUXn7lVrqMsdTccpBmnQc/edit#gid=1145593933?usp=sharing"",""1-12每月!$E16"")"),0.0)</f>
        <v>0</v>
      </c>
      <c r="AF16" s="83">
        <f>IFERROR(__xludf.DUMMYFUNCTION("IMPORTRANGE(""https://docs.google.com/spreadsheets/d/17hbKAHrpKLEbG3r9s1Ay3fOGzvOBzSu3Bn_CD4JNLhY/edit#gid=756408948?usp=sharing"",""1-12每月!$E16"")"),7568.0)</f>
        <v>7568</v>
      </c>
      <c r="AG16" s="83">
        <f>IFERROR(__xludf.DUMMYFUNCTION("IMPORTRANGE(""https://docs.google.com/spreadsheets/d/1qeecSCKZ78ENQrsyUYpSNZqvo0-Y-uuGKFA1F06yLEM/edit#gid=874445072?usp=sharing"",""1-12每月!$E16"")"),39662.0)</f>
        <v>39662</v>
      </c>
      <c r="AH16" s="83">
        <f>IFERROR(__xludf.DUMMYFUNCTION("IMPORTRANGE(""https://docs.google.com/spreadsheets/d/1BSX0y1fIKw9-3VTr627UzGVjwKe74kwBkuFnvlaueNo/edit#gid=1113655470"",""1-12每月!$E16"")"),25747.0)</f>
        <v>25747</v>
      </c>
      <c r="AI16" s="83">
        <f>IFERROR(__xludf.DUMMYFUNCTION("IMPORTRANGE(""https://docs.google.com/spreadsheets/d/1bQzlrSGiVqBrfQ6FKnw67vhBELFgthonryGzmQabVFQ/edit#gid=1015697053?usp=sharing"",""1-12每月!$E16"")"),25678.0)</f>
        <v>25678</v>
      </c>
      <c r="AJ16" s="83">
        <f>IFERROR(__xludf.DUMMYFUNCTION("IMPORTRANGE(""https://docs.google.com/spreadsheets/d/1Pem-mgCz4CF6EUKNVxDQx16g9jie0F5YNDQ_cPnMHYs"",""1-12每月!$E16"")"),19465.0)</f>
        <v>19465</v>
      </c>
      <c r="AK16" s="83">
        <f>IFERROR(__xludf.DUMMYFUNCTION("IMPORTRANGE(""https://docs.google.com/spreadsheets/d/1ZoRtUl0m9T3TpY8H-9-ntNBO_zrYrgNKuAe_XfTeFnU"",""1-12每月!$E16"")"),14909.0)</f>
        <v>14909</v>
      </c>
      <c r="AL16" s="83">
        <f>IFERROR(__xludf.DUMMYFUNCTION("IMPORTRANGE(""https://docs.google.com/spreadsheets/d/1Y9Uv46r1nA3ixCGwTWZqhGQWDt4KVX4iXmhJgHL5CGQ"",""1-12每月!$E16"")"),14885.0)</f>
        <v>14885</v>
      </c>
      <c r="AM16" s="83">
        <f>IFERROR(__xludf.DUMMYFUNCTION("IMPORTRANGE(""https://docs.google.com/spreadsheets/d/1E3X732-CKfouAVQOwKyrePWwI1Bwg9NHD0VD42lyiu4/edit?gid=1513765949#gid=1513765949"",""1-12每月!$E16"")"),0.0)</f>
        <v>0</v>
      </c>
      <c r="AN16" s="115"/>
      <c r="AO16" s="115"/>
      <c r="AP16" s="115"/>
      <c r="AQ16" s="115"/>
      <c r="AR16" s="108"/>
    </row>
    <row r="17" ht="15.75" customHeight="1">
      <c r="A17" s="86" t="s">
        <v>45</v>
      </c>
      <c r="B17" s="87"/>
      <c r="C17" s="87"/>
      <c r="D17" s="87"/>
      <c r="E17" s="87"/>
      <c r="F17" s="87"/>
      <c r="G17" s="87"/>
      <c r="H17" s="87"/>
      <c r="I17" s="87"/>
      <c r="J17" s="87"/>
      <c r="K17" s="87"/>
      <c r="L17" s="87"/>
      <c r="M17" s="87">
        <f t="shared" ref="M17:AR17" si="1">SUM(M5:M16)</f>
        <v>87926</v>
      </c>
      <c r="N17" s="87">
        <f t="shared" si="1"/>
        <v>82453</v>
      </c>
      <c r="O17" s="87">
        <f t="shared" si="1"/>
        <v>125676</v>
      </c>
      <c r="P17" s="87">
        <f t="shared" si="1"/>
        <v>102514</v>
      </c>
      <c r="Q17" s="87">
        <f t="shared" si="1"/>
        <v>122973</v>
      </c>
      <c r="R17" s="87">
        <f t="shared" si="1"/>
        <v>167440</v>
      </c>
      <c r="S17" s="87">
        <f t="shared" si="1"/>
        <v>116542</v>
      </c>
      <c r="T17" s="87">
        <f t="shared" si="1"/>
        <v>132298</v>
      </c>
      <c r="U17" s="87">
        <f t="shared" si="1"/>
        <v>74260</v>
      </c>
      <c r="V17" s="87">
        <f t="shared" si="1"/>
        <v>79623</v>
      </c>
      <c r="W17" s="87">
        <f t="shared" si="1"/>
        <v>80995</v>
      </c>
      <c r="X17" s="87">
        <f t="shared" si="1"/>
        <v>81061</v>
      </c>
      <c r="Y17" s="87">
        <f t="shared" si="1"/>
        <v>68923</v>
      </c>
      <c r="Z17" s="87">
        <f t="shared" si="1"/>
        <v>8287</v>
      </c>
      <c r="AA17" s="87">
        <f t="shared" si="1"/>
        <v>137229</v>
      </c>
      <c r="AB17" s="87">
        <f t="shared" si="1"/>
        <v>122124</v>
      </c>
      <c r="AC17" s="87">
        <f t="shared" si="1"/>
        <v>102750</v>
      </c>
      <c r="AD17" s="87">
        <f t="shared" si="1"/>
        <v>115714</v>
      </c>
      <c r="AE17" s="87">
        <f t="shared" si="1"/>
        <v>75740</v>
      </c>
      <c r="AF17" s="87">
        <f t="shared" si="1"/>
        <v>54144</v>
      </c>
      <c r="AG17" s="87">
        <f t="shared" si="1"/>
        <v>585555</v>
      </c>
      <c r="AH17" s="87">
        <f t="shared" si="1"/>
        <v>292959</v>
      </c>
      <c r="AI17" s="87">
        <f t="shared" si="1"/>
        <v>254369</v>
      </c>
      <c r="AJ17" s="87">
        <f t="shared" si="1"/>
        <v>273955</v>
      </c>
      <c r="AK17" s="87">
        <f t="shared" si="1"/>
        <v>194850</v>
      </c>
      <c r="AL17" s="87">
        <f t="shared" si="1"/>
        <v>196861</v>
      </c>
      <c r="AM17" s="87">
        <f t="shared" si="1"/>
        <v>99968</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-0.06224552465</v>
      </c>
      <c r="O18" s="90">
        <f t="shared" si="2"/>
        <v>0.5242137945</v>
      </c>
      <c r="P18" s="90">
        <f t="shared" si="2"/>
        <v>-0.1842993093</v>
      </c>
      <c r="Q18" s="90">
        <f t="shared" si="2"/>
        <v>0.1995727413</v>
      </c>
      <c r="R18" s="90">
        <f t="shared" si="2"/>
        <v>0.3615997007</v>
      </c>
      <c r="S18" s="90">
        <f t="shared" si="2"/>
        <v>-0.3039775442</v>
      </c>
      <c r="T18" s="90">
        <f t="shared" si="2"/>
        <v>0.135195895</v>
      </c>
      <c r="U18" s="90">
        <f t="shared" si="2"/>
        <v>-0.438691439</v>
      </c>
      <c r="V18" s="90">
        <f t="shared" si="2"/>
        <v>0.07221922973</v>
      </c>
      <c r="W18" s="90">
        <f t="shared" si="2"/>
        <v>0.01723120204</v>
      </c>
      <c r="X18" s="90">
        <f t="shared" si="2"/>
        <v>0.0008148651151</v>
      </c>
      <c r="Y18" s="90">
        <f t="shared" si="2"/>
        <v>-0.1497390854</v>
      </c>
      <c r="Z18" s="90">
        <f t="shared" si="2"/>
        <v>-0.8797643747</v>
      </c>
      <c r="AA18" s="90">
        <f t="shared" si="2"/>
        <v>15.5595511</v>
      </c>
      <c r="AB18" s="90">
        <f t="shared" si="2"/>
        <v>-0.1100714863</v>
      </c>
      <c r="AC18" s="90">
        <f t="shared" si="2"/>
        <v>-0.158642036</v>
      </c>
      <c r="AD18" s="90">
        <f t="shared" ref="AD18:AR18" si="3">IF(AC17=0,0,(AD17-AC17)/AC17)</f>
        <v>0.1261703163</v>
      </c>
      <c r="AE18" s="90">
        <f t="shared" si="3"/>
        <v>-0.345455174</v>
      </c>
      <c r="AF18" s="90">
        <f t="shared" si="3"/>
        <v>-0.2851333509</v>
      </c>
      <c r="AG18" s="90">
        <f t="shared" si="3"/>
        <v>9.81477172</v>
      </c>
      <c r="AH18" s="90">
        <f t="shared" si="3"/>
        <v>-0.4996900377</v>
      </c>
      <c r="AI18" s="90">
        <f t="shared" si="3"/>
        <v>-0.1317249171</v>
      </c>
      <c r="AJ18" s="90">
        <f t="shared" si="3"/>
        <v>0.07699837637</v>
      </c>
      <c r="AK18" s="90">
        <f t="shared" si="3"/>
        <v>-0.2887518023</v>
      </c>
      <c r="AL18" s="90">
        <f t="shared" si="3"/>
        <v>0.01032075956</v>
      </c>
      <c r="AM18" s="90">
        <f t="shared" si="3"/>
        <v>-0.4921899208</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row>
    <row r="20" ht="15.75" customHeight="1">
      <c r="A20" s="77" t="s">
        <v>124</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15.75" customHeight="1">
      <c r="A21" s="77" t="s">
        <v>125</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77" t="s">
        <v>126</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110" t="s">
        <v>127</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row>
    <row r="24" ht="15.75" customHeight="1">
      <c r="A24" s="110" t="s">
        <v>128</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102</v>
      </c>
      <c r="AD24" s="92">
        <f t="shared" ref="AD24:AE24" si="4">SUM(AD$5:AD$6)</f>
        <v>22364</v>
      </c>
      <c r="AE24" s="92">
        <f t="shared" si="4"/>
        <v>14933</v>
      </c>
      <c r="AF24" s="77"/>
      <c r="AG24" s="77"/>
      <c r="AH24" s="77"/>
      <c r="AI24" s="77"/>
      <c r="AJ24" s="77"/>
      <c r="AK24" s="77"/>
      <c r="AL24" s="77"/>
      <c r="AM24" s="77"/>
      <c r="AN24" s="77"/>
      <c r="AO24" s="77"/>
      <c r="AP24" s="77"/>
      <c r="AQ24" s="77"/>
      <c r="AR24" s="77"/>
    </row>
    <row r="25" ht="15.75" customHeight="1">
      <c r="A25" s="77" t="s">
        <v>105</v>
      </c>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t="s">
        <v>104</v>
      </c>
      <c r="AD25" s="92">
        <f t="shared" ref="AD25:AE25" si="5">SUM(AD$7:AD$11)</f>
        <v>50663</v>
      </c>
      <c r="AE25" s="92">
        <f t="shared" si="5"/>
        <v>48544</v>
      </c>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1.22" defaultRowHeight="15.0"/>
  <cols>
    <col customWidth="1" min="1" max="1" width="6.33"/>
    <col customWidth="1" min="2" max="12" width="3.67"/>
    <col customWidth="1" hidden="1" min="13" max="13" width="9.11"/>
    <col customWidth="1" hidden="1" min="14" max="14" width="9.44"/>
    <col customWidth="1" hidden="1" min="15" max="15" width="8.33"/>
    <col customWidth="1" hidden="1" min="16" max="16" width="8.11"/>
    <col customWidth="1" hidden="1" min="17" max="17" width="8.89"/>
    <col customWidth="1" hidden="1" min="18" max="25" width="9.11"/>
    <col customWidth="1" hidden="1" min="26" max="27" width="10.0"/>
    <col customWidth="1" hidden="1" min="28" max="33" width="9.11"/>
    <col customWidth="1" min="34" max="44" width="9.11"/>
  </cols>
  <sheetData>
    <row r="1" ht="15.75" customHeight="1">
      <c r="A1" s="113" t="s">
        <v>129</v>
      </c>
      <c r="B1" s="74"/>
      <c r="C1" s="74"/>
      <c r="D1" s="74"/>
      <c r="E1" s="74"/>
      <c r="F1" s="74"/>
      <c r="G1" s="74"/>
      <c r="H1" s="74"/>
      <c r="I1" s="74"/>
      <c r="J1" s="74"/>
      <c r="K1" s="74"/>
      <c r="L1" s="74"/>
      <c r="M1" s="74"/>
      <c r="N1" s="74"/>
      <c r="O1" s="74"/>
      <c r="P1" s="74"/>
      <c r="Q1" s="74"/>
      <c r="R1" s="74"/>
      <c r="S1" s="74"/>
      <c r="T1" s="74"/>
      <c r="U1" s="74"/>
      <c r="V1" s="74"/>
      <c r="W1" s="74"/>
      <c r="X1" s="74"/>
      <c r="Y1" s="74"/>
      <c r="Z1" s="75"/>
      <c r="AA1" s="75"/>
      <c r="AB1" s="75"/>
      <c r="AC1" s="75"/>
      <c r="AD1" s="75"/>
      <c r="AE1" s="75"/>
      <c r="AF1" s="75"/>
      <c r="AG1" s="75"/>
      <c r="AH1" s="75"/>
      <c r="AI1" s="75"/>
      <c r="AJ1" s="75"/>
      <c r="AK1" s="75"/>
      <c r="AL1" s="75"/>
      <c r="AM1" s="75"/>
      <c r="AN1" s="75"/>
      <c r="AO1" s="75"/>
      <c r="AP1" s="75"/>
      <c r="AQ1" s="75"/>
      <c r="AR1" s="75"/>
    </row>
    <row r="2" ht="15.75" customHeight="1">
      <c r="A2" s="77" t="s">
        <v>130</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row>
    <row r="3" ht="15.75" customHeight="1">
      <c r="A3" s="78" t="s">
        <v>79</v>
      </c>
      <c r="B3" s="79">
        <v>78.0</v>
      </c>
      <c r="C3" s="79">
        <v>79.0</v>
      </c>
      <c r="D3" s="79">
        <v>80.0</v>
      </c>
      <c r="E3" s="79">
        <v>81.0</v>
      </c>
      <c r="F3" s="79">
        <v>82.0</v>
      </c>
      <c r="G3" s="79">
        <v>83.0</v>
      </c>
      <c r="H3" s="79">
        <v>84.0</v>
      </c>
      <c r="I3" s="79">
        <v>85.0</v>
      </c>
      <c r="J3" s="79">
        <v>86.0</v>
      </c>
      <c r="K3" s="79">
        <v>87.0</v>
      </c>
      <c r="L3" s="79">
        <v>88.0</v>
      </c>
      <c r="M3" s="79">
        <v>89.0</v>
      </c>
      <c r="N3" s="79">
        <v>90.0</v>
      </c>
      <c r="O3" s="79">
        <v>91.0</v>
      </c>
      <c r="P3" s="79">
        <v>92.0</v>
      </c>
      <c r="Q3" s="79">
        <v>93.0</v>
      </c>
      <c r="R3" s="79">
        <v>94.0</v>
      </c>
      <c r="S3" s="79">
        <v>95.0</v>
      </c>
      <c r="T3" s="79">
        <v>96.0</v>
      </c>
      <c r="U3" s="79">
        <v>97.0</v>
      </c>
      <c r="V3" s="79">
        <v>98.0</v>
      </c>
      <c r="W3" s="79">
        <v>99.0</v>
      </c>
      <c r="X3" s="79">
        <v>100.0</v>
      </c>
      <c r="Y3" s="79">
        <v>101.0</v>
      </c>
      <c r="Z3" s="79">
        <v>102.0</v>
      </c>
      <c r="AA3" s="79">
        <v>103.0</v>
      </c>
      <c r="AB3" s="79">
        <v>104.0</v>
      </c>
      <c r="AC3" s="79">
        <v>105.0</v>
      </c>
      <c r="AD3" s="79">
        <v>106.0</v>
      </c>
      <c r="AE3" s="79">
        <v>107.0</v>
      </c>
      <c r="AF3" s="79">
        <v>108.0</v>
      </c>
      <c r="AG3" s="79">
        <v>109.0</v>
      </c>
      <c r="AH3" s="79">
        <v>110.0</v>
      </c>
      <c r="AI3" s="79">
        <v>111.0</v>
      </c>
      <c r="AJ3" s="79">
        <v>112.0</v>
      </c>
      <c r="AK3" s="79">
        <v>113.0</v>
      </c>
      <c r="AL3" s="79">
        <v>114.0</v>
      </c>
      <c r="AM3" s="79">
        <v>115.0</v>
      </c>
      <c r="AN3" s="79">
        <v>116.0</v>
      </c>
      <c r="AO3" s="79">
        <v>117.0</v>
      </c>
      <c r="AP3" s="79">
        <v>118.0</v>
      </c>
      <c r="AQ3" s="79">
        <v>119.0</v>
      </c>
      <c r="AR3" s="80">
        <v>120.0</v>
      </c>
    </row>
    <row r="4" ht="15.75" customHeight="1">
      <c r="A4" s="81" t="s">
        <v>80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2"/>
    </row>
    <row r="5" ht="15.75" customHeight="1">
      <c r="A5" s="85">
        <v>1.0</v>
      </c>
      <c r="B5" s="83"/>
      <c r="C5" s="83"/>
      <c r="D5" s="83"/>
      <c r="E5" s="83"/>
      <c r="F5" s="83"/>
      <c r="G5" s="83"/>
      <c r="H5" s="83"/>
      <c r="I5" s="83"/>
      <c r="J5" s="83"/>
      <c r="K5" s="83"/>
      <c r="L5" s="83"/>
      <c r="M5" s="83">
        <f>IFERROR(__xludf.DUMMYFUNCTION("IMPORTRANGE(""https://docs.google.com/spreadsheets/d/1dffLfsI-BGVz-K0zdrsWfGaqrFfoLJAhq001merp6Rk/edit?usp=sharing"",""1-12每月!$D5"")"),54124.0)</f>
        <v>54124</v>
      </c>
      <c r="N5" s="83">
        <f>IFERROR(__xludf.DUMMYFUNCTION("IMPORTRANGE(""https://docs.google.com/spreadsheets/d/1SzxpZPUDnwxS8mSOLGEH5NbWU7ZW_VcRmIn7psOvuTs/edit#gid=1650312294?usp=sharing"",""1-12每月!$D5"")"),68169.0)</f>
        <v>68169</v>
      </c>
      <c r="O5" s="83">
        <f>IFERROR(__xludf.DUMMYFUNCTION("IMPORTRANGE(""https://docs.google.com/spreadsheets/d/1ta9i7cAkOPF0LapwmU_YEDA4IPQvKNuaYVMY8vIVPwI/edit#gid=1607741572?usp=sharing"",""1-12每月!$D5"")"),38270.0)</f>
        <v>38270</v>
      </c>
      <c r="P5" s="83">
        <f>IFERROR(__xludf.DUMMYFUNCTION("IMPORTRANGE(""https://docs.google.com/spreadsheets/d/1f4WWQfcNBonYqfzcaBhJlHzPwh34sx4U6naz-Aw2G4I/edit#gid=2097425894?usp=sharing"",""1-12每月!$F5"")"),30397.0)</f>
        <v>30397</v>
      </c>
      <c r="Q5" s="83">
        <f>IFERROR(__xludf.DUMMYFUNCTION("IMPORTRANGE(""https://docs.google.com/spreadsheets/d/1pCmmgCj7Y_SQPZLsiVd3yvND9oLyryVfBwNxC6OUwm8/edit#gid=170549058?usp=sharing"",""1-12每月!$F5"")"),59155.0)</f>
        <v>59155</v>
      </c>
      <c r="R5" s="83">
        <f>IFERROR(__xludf.DUMMYFUNCTION("IMPORTRANGE(""https://docs.google.com/spreadsheets/d/1hrRqxxacrLITR_JGMRVbhSRCIZIU8gAv0o_aOkHz68M/edit#gid=763155734?usp=sharing"",""1-12每月!$F5"")"),33275.0)</f>
        <v>33275</v>
      </c>
      <c r="S5" s="83">
        <f>IFERROR(__xludf.DUMMYFUNCTION("IMPORTRANGE(""https://docs.google.com/spreadsheets/d/1AKS3XWcgwNLFRbGU-lJ3UBHDQNdglvKwrv4_Bpp1IjU/edit#gid=73116376?usp=sharing"",""1-12每月!$E5"")"),40732.0)</f>
        <v>40732</v>
      </c>
      <c r="T5" s="83">
        <f>IFERROR(__xludf.DUMMYFUNCTION("IMPORTRANGE(""https://docs.google.com/spreadsheets/d/1wGGXGHkWT5JsjUDTy4FnHN_O9ae4MADbMykqIWVThNc/edit#gid=297806252"",""1-12每月!$E5"")"),24261.0)</f>
        <v>24261</v>
      </c>
      <c r="U5" s="83">
        <f>IFERROR(__xludf.DUMMYFUNCTION("IMPORTRANGE(""https://docs.google.com/spreadsheets/d/1ShTgtQQDjMKpYx-TJ_lwdxnWSzJNUcNnzR3fJjoaZec/edit#gid=66107904"",""1-12每月!$E5"")"),23791.0)</f>
        <v>23791</v>
      </c>
      <c r="V5" s="83">
        <f>IFERROR(__xludf.DUMMYFUNCTION("IMPORTRANGE(""https://docs.google.com/spreadsheets/d/1_eyuyKbXFCJd6fVFEKQwugwYCbRCmmWN_M7XR1dtOb8/edit#gid=951918895"",""1-12每月!$E5"")"),68192.0)</f>
        <v>68192</v>
      </c>
      <c r="W5" s="83">
        <f>IFERROR(__xludf.DUMMYFUNCTION("IMPORTRANGE(""https://docs.google.com/spreadsheets/d/1yEpHI9_Y4w8sRmPP9C-mYK4NMfVuTJifGLMj4FMdqek/edit#gid=799087919"",""1-12每月!$E5"")"),46061.0)</f>
        <v>46061</v>
      </c>
      <c r="X5" s="83">
        <f>IFERROR(__xludf.DUMMYFUNCTION("IMPORTRANGE(""https://docs.google.com/spreadsheets/d/1Vbyb9GlrY6jOwvoGyZFB96f7WXYjkT6gvTE37DPDXDI/edit#gid=9591526"",""1-12每月!$E5"")"),32495.0)</f>
        <v>32495</v>
      </c>
      <c r="Y5" s="83">
        <f>IFERROR(__xludf.DUMMYFUNCTION("IMPORTRANGE(""https://docs.google.com/spreadsheets/d/1qeckoJwzWQAg8zQ80D-QJP4pnVYH6l2juaUyHtOu6y8/edit#gid=1905704096"",""1-12每月!$E5"")"),72261.0)</f>
        <v>72261</v>
      </c>
      <c r="Z5" s="83">
        <f>IFERROR(__xludf.DUMMYFUNCTION("IMPORTRANGE(""https://docs.google.com/spreadsheets/d/1BcbIi7AD1VDpy_wMQ0YjCG-iuQy0_tkCVqr72a0Pwbg/edit#gid=1099513714"",""1-12每月!$E5"")"),39428.0)</f>
        <v>39428</v>
      </c>
      <c r="AA5" s="83">
        <f>IFERROR(__xludf.DUMMYFUNCTION("IMPORTRANGE(""https://docs.google.com/spreadsheets/d/1cIFCQPaYiOmIt2O3vkEx5eto8sfRtx3JtAWJ1fv31HI/edit#gid=432689709"",""1-12每月!$E5"")"),48490.0)</f>
        <v>48490</v>
      </c>
      <c r="AB5" s="83">
        <f>IFERROR(__xludf.DUMMYFUNCTION("IMPORTRANGE(""https://docs.google.com/spreadsheets/d/1C8ECYlbes2CJkHHGOAyOYVfrP7PdlGr8RMjK7KZd0_o/edit#gid=495469277"",""1-12每月!$E5"")"),63971.0)</f>
        <v>63971</v>
      </c>
      <c r="AC5" s="83">
        <f>IFERROR(__xludf.DUMMYFUNCTION("IMPORTRANGE(""https://docs.google.com/spreadsheets/d/1ettcrhLPK6tkvHZxDTyU2bGIpGSi2ynG91ln0fqz9iE/edit#gid=1364213386"",""1-12每月!$F5"")"),56702.0)</f>
        <v>56702</v>
      </c>
      <c r="AD5" s="83">
        <f>IFERROR(__xludf.DUMMYFUNCTION("IMPORTRANGE(""https://docs.google.com/spreadsheets/d/1xUhm-MtqzfUO8M5WEWVv9w2EFkv5_PHMOsAlA3CcCWU/edit#gid=1700470961"",""1-12每月!$F5"")"),55944.0)</f>
        <v>55944</v>
      </c>
      <c r="AE5" s="83">
        <f>IFERROR(__xludf.DUMMYFUNCTION("IMPORTRANGE(""https://docs.google.com/spreadsheets/d/1DP8wl0QQLYSZ8R2aQ8wNmiAUXn7lVrqMsdTccpBmnQc/edit#gid=1145593933"",""1-12每月!$F5"")"),35508.840000000004)</f>
        <v>35508.84</v>
      </c>
      <c r="AF5" s="83">
        <f>IFERROR(__xludf.DUMMYFUNCTION("IMPORTRANGE(""https://docs.google.com/spreadsheets/d/17hbKAHrpKLEbG3r9s1Ay3fOGzvOBzSu3Bn_CD4JNLhY/edit#gid=756408948"",""1-12每月!$F5"")"),41886.56)</f>
        <v>41886.56</v>
      </c>
      <c r="AG5" s="83">
        <f>IFERROR(__xludf.DUMMYFUNCTION("IMPORTRANGE(""https://docs.google.com/spreadsheets/d/1qeecSCKZ78ENQrsyUYpSNZqvo0-Y-uuGKFA1F06yLEM/edit#gid=874445072"",""1-12每月!$F5"")"),57901.0)</f>
        <v>57901</v>
      </c>
      <c r="AH5" s="83">
        <f>IFERROR(__xludf.DUMMYFUNCTION("IMPORTRANGE(""https://docs.google.com/spreadsheets/d/1BSX0y1fIKw9-3VTr627UzGVjwKe74kwBkuFnvlaueNo/edit#gid=1113655470"",""1-12每月!$F5"")"),33876.0)</f>
        <v>33876</v>
      </c>
      <c r="AI5" s="83">
        <f>IFERROR(__xludf.DUMMYFUNCTION("IMPORTRANGE(""https://docs.google.com/spreadsheets/d/1bQzlrSGiVqBrfQ6FKnw67vhBELFgthonryGzmQabVFQ/edit#gid=1015697053"",""1-12每月!$F5"")"),31483.0)</f>
        <v>31483</v>
      </c>
      <c r="AJ5" s="83">
        <f>IFERROR(__xludf.DUMMYFUNCTION("IMPORTRANGE(""https://docs.google.com/spreadsheets/d/1Pem-mgCz4CF6EUKNVxDQx16g9jie0F5YNDQ_cPnMHYs"",""1-12每月!$F5"")"),40037.0)</f>
        <v>40037</v>
      </c>
      <c r="AK5" s="83">
        <f>IFERROR(__xludf.DUMMYFUNCTION("IMPORTRANGE(""https://docs.google.com/spreadsheets/d/1ZoRtUl0m9T3TpY8H-9-ntNBO_zrYrgNKuAe_XfTeFnU"",""1-12每月!$F5"")"),91488.0)</f>
        <v>91488</v>
      </c>
      <c r="AL5" s="83">
        <f>IFERROR(__xludf.DUMMYFUNCTION("IMPORTRANGE(""https://docs.google.com/spreadsheets/d/1Y9Uv46r1nA3ixCGwTWZqhGQWDt4KVX4iXmhJgHL5CGQ"",""1-12每月!$F5"")"),134184.0)</f>
        <v>134184</v>
      </c>
      <c r="AM5" s="83">
        <f>IFERROR(__xludf.DUMMYFUNCTION("IMPORTRANGE(""https://docs.google.com/spreadsheets/d/1E3X732-CKfouAVQOwKyrePWwI1Bwg9NHD0VD42lyiu4/edit?gid=1513765949#gid=1513765949"",""1-12每月!$F5"")"),62722.0)</f>
        <v>62722</v>
      </c>
      <c r="AN5" s="83"/>
      <c r="AO5" s="83"/>
      <c r="AP5" s="83"/>
      <c r="AQ5" s="83"/>
      <c r="AR5" s="84"/>
    </row>
    <row r="6" ht="15.75" customHeight="1">
      <c r="A6" s="85">
        <v>2.0</v>
      </c>
      <c r="B6" s="83"/>
      <c r="C6" s="83"/>
      <c r="D6" s="83"/>
      <c r="E6" s="83"/>
      <c r="F6" s="83"/>
      <c r="G6" s="83"/>
      <c r="H6" s="83"/>
      <c r="I6" s="83"/>
      <c r="J6" s="83"/>
      <c r="K6" s="83"/>
      <c r="L6" s="83"/>
      <c r="M6" s="83">
        <f>IFERROR(__xludf.DUMMYFUNCTION("IMPORTRANGE(""https://docs.google.com/spreadsheets/d/1dffLfsI-BGVz-K0zdrsWfGaqrFfoLJAhq001merp6Rk/edit?usp=sharing"",""1-12每月!$D6"")"),150408.0)</f>
        <v>150408</v>
      </c>
      <c r="N6" s="83">
        <f>IFERROR(__xludf.DUMMYFUNCTION("IMPORTRANGE(""https://docs.google.com/spreadsheets/d/1SzxpZPUDnwxS8mSOLGEH5NbWU7ZW_VcRmIn7psOvuTs/edit#gid=1650312294?usp=sharing"",""1-12每月!$D6"")"),55635.0)</f>
        <v>55635</v>
      </c>
      <c r="O6" s="83">
        <f>IFERROR(__xludf.DUMMYFUNCTION("IMPORTRANGE(""https://docs.google.com/spreadsheets/d/1ta9i7cAkOPF0LapwmU_YEDA4IPQvKNuaYVMY8vIVPwI/edit#gid=1607741572?usp=sharing"",""1-12每月!$D6"")"),69775.0)</f>
        <v>69775</v>
      </c>
      <c r="P6" s="83">
        <f>IFERROR(__xludf.DUMMYFUNCTION("IMPORTRANGE(""https://docs.google.com/spreadsheets/d/1f4WWQfcNBonYqfzcaBhJlHzPwh34sx4U6naz-Aw2G4I/edit#gid=2097425894?usp=sharing"",""1-12每月!$F6"")"),87696.0)</f>
        <v>87696</v>
      </c>
      <c r="Q6" s="83">
        <f>IFERROR(__xludf.DUMMYFUNCTION("IMPORTRANGE(""https://docs.google.com/spreadsheets/d/1pCmmgCj7Y_SQPZLsiVd3yvND9oLyryVfBwNxC6OUwm8/edit#gid=170549058?usp=sharing"",""1-12每月!$F6"")"),42801.0)</f>
        <v>42801</v>
      </c>
      <c r="R6" s="83">
        <f>IFERROR(__xludf.DUMMYFUNCTION("IMPORTRANGE(""https://docs.google.com/spreadsheets/d/1hrRqxxacrLITR_JGMRVbhSRCIZIU8gAv0o_aOkHz68M/edit#gid=763155734?usp=sharing"",""1-12每月!$F6"")"),65545.0)</f>
        <v>65545</v>
      </c>
      <c r="S6" s="83">
        <f>IFERROR(__xludf.DUMMYFUNCTION("IMPORTRANGE(""https://docs.google.com/spreadsheets/d/1AKS3XWcgwNLFRbGU-lJ3UBHDQNdglvKwrv4_Bpp1IjU/edit#gid=73116376?usp=sharing"",""1-12每月!$E6"")"),66751.0)</f>
        <v>66751</v>
      </c>
      <c r="T6" s="83">
        <f>IFERROR(__xludf.DUMMYFUNCTION("IMPORTRANGE(""https://docs.google.com/spreadsheets/d/1wGGXGHkWT5JsjUDTy4FnHN_O9ae4MADbMykqIWVThNc/edit#gid=297806252?usp=sharing"",""1-12每月!$E6"")"),60046.0)</f>
        <v>60046</v>
      </c>
      <c r="U6" s="83">
        <f>IFERROR(__xludf.DUMMYFUNCTION("IMPORTRANGE(""https://docs.google.com/spreadsheets/d/1ShTgtQQDjMKpYx-TJ_lwdxnWSzJNUcNnzR3fJjoaZec/edit#gid=66107904?usp=sharing"",""1-12每月!$E6"")"),51079.0)</f>
        <v>51079</v>
      </c>
      <c r="V6" s="83">
        <f>IFERROR(__xludf.DUMMYFUNCTION("IMPORTRANGE(""https://docs.google.com/spreadsheets/d/1_eyuyKbXFCJd6fVFEKQwugwYCbRCmmWN_M7XR1dtOb8/edit#gid=951918895?usp=sharing"",""1-12每月!$E6"")"),44297.0)</f>
        <v>44297</v>
      </c>
      <c r="W6" s="83">
        <f>IFERROR(__xludf.DUMMYFUNCTION("IMPORTRANGE(""https://docs.google.com/spreadsheets/d/1yEpHI9_Y4w8sRmPP9C-mYK4NMfVuTJifGLMj4FMdqek/edit#gid=799087919?usp=sharing"",""1-12每月!$E6"")"),78442.0)</f>
        <v>78442</v>
      </c>
      <c r="X6" s="83">
        <f>IFERROR(__xludf.DUMMYFUNCTION("IMPORTRANGE(""https://docs.google.com/spreadsheets/d/1Vbyb9GlrY6jOwvoGyZFB96f7WXYjkT6gvTE37DPDXDI/edit#gid=9591526?usp=sharing"",""1-12每月!$E6"")"),65430.0)</f>
        <v>65430</v>
      </c>
      <c r="Y6" s="83">
        <f>IFERROR(__xludf.DUMMYFUNCTION("IMPORTRANGE(""https://docs.google.com/spreadsheets/d/1qeckoJwzWQAg8zQ80D-QJP4pnVYH6l2juaUyHtOu6y8/edit#gid=1905704096?usp=sharing"",""1-12每月!$E6"")"),66177.0)</f>
        <v>66177</v>
      </c>
      <c r="Z6" s="83">
        <f>IFERROR(__xludf.DUMMYFUNCTION("IMPORTRANGE(""https://docs.google.com/spreadsheets/d/1BcbIi7AD1VDpy_wMQ0YjCG-iuQy0_tkCVqr72a0Pwbg/edit#gid=1099513714?usp=sharing"",""1-12每月!$E6"")"),75932.0)</f>
        <v>75932</v>
      </c>
      <c r="AA6" s="83">
        <f>IFERROR(__xludf.DUMMYFUNCTION("IMPORTRANGE(""https://docs.google.com/spreadsheets/d/1cIFCQPaYiOmIt2O3vkEx5eto8sfRtx3JtAWJ1fv31HI/edit#gid=432689709?usp=sharing"",""1-12每月!$E6"")"),82539.0)</f>
        <v>82539</v>
      </c>
      <c r="AB6" s="83">
        <f>IFERROR(__xludf.DUMMYFUNCTION("IMPORTRANGE(""https://docs.google.com/spreadsheets/d/1C8ECYlbes2CJkHHGOAyOYVfrP7PdlGr8RMjK7KZd0_o/edit#gid=495469277?usp=sharing"",""1-12每月!$E6"")"),91594.0)</f>
        <v>91594</v>
      </c>
      <c r="AC6" s="83">
        <f>IFERROR(__xludf.DUMMYFUNCTION("IMPORTRANGE(""https://docs.google.com/spreadsheets/d/1ettcrhLPK6tkvHZxDTyU2bGIpGSi2ynG91ln0fqz9iE/edit#gid=1364213386?usp=sharing"",""1-12每月!$F6"")"),86863.0)</f>
        <v>86863</v>
      </c>
      <c r="AD6" s="83">
        <f>IFERROR(__xludf.DUMMYFUNCTION("IMPORTRANGE(""https://docs.google.com/spreadsheets/d/1xUhm-MtqzfUO8M5WEWVv9w2EFkv5_PHMOsAlA3CcCWU/edit#gid=1700470961?usp=sharing"",""1-12每月!$F6"")"),64840.0)</f>
        <v>64840</v>
      </c>
      <c r="AE6" s="83">
        <f>IFERROR(__xludf.DUMMYFUNCTION("IMPORTRANGE(""https://docs.google.com/spreadsheets/d/1DP8wl0QQLYSZ8R2aQ8wNmiAUXn7lVrqMsdTccpBmnQc/edit#gid=1145593933?usp=sharing"",""1-12每月!$F6"")"),45443.0)</f>
        <v>45443</v>
      </c>
      <c r="AF6" s="83">
        <f>IFERROR(__xludf.DUMMYFUNCTION("IMPORTRANGE(""https://docs.google.com/spreadsheets/d/17hbKAHrpKLEbG3r9s1Ay3fOGzvOBzSu3Bn_CD4JNLhY/edit#gid=756408948?usp=sharing"",""1-12每月!$F6"")"),60290.0)</f>
        <v>60290</v>
      </c>
      <c r="AG6" s="83">
        <f>IFERROR(__xludf.DUMMYFUNCTION("IMPORTRANGE(""https://docs.google.com/spreadsheets/d/1qeecSCKZ78ENQrsyUYpSNZqvo0-Y-uuGKFA1F06yLEM/edit#gid=874445072?usp=sharing"",""1-12每月!$F6"")"),46781.0)</f>
        <v>46781</v>
      </c>
      <c r="AH6" s="83">
        <f>IFERROR(__xludf.DUMMYFUNCTION("IMPORTRANGE(""https://docs.google.com/spreadsheets/d/1BSX0y1fIKw9-3VTr627UzGVjwKe74kwBkuFnvlaueNo/edit#gid=1113655470"",""1-12每月!$F6"")"),54477.0)</f>
        <v>54477</v>
      </c>
      <c r="AI6" s="83">
        <f>IFERROR(__xludf.DUMMYFUNCTION("IMPORTRANGE(""https://docs.google.com/spreadsheets/d/1bQzlrSGiVqBrfQ6FKnw67vhBELFgthonryGzmQabVFQ/edit#gid=1015697053?usp=sharing"",""1-12每月!$F6"")"),52524.0)</f>
        <v>52524</v>
      </c>
      <c r="AJ6" s="83">
        <f>IFERROR(__xludf.DUMMYFUNCTION("IMPORTRANGE(""https://docs.google.com/spreadsheets/d/1Pem-mgCz4CF6EUKNVxDQx16g9jie0F5YNDQ_cPnMHYs"",""1-12每月!$F6"")"),27851.0)</f>
        <v>27851</v>
      </c>
      <c r="AK6" s="83">
        <f>IFERROR(__xludf.DUMMYFUNCTION("IMPORTRANGE(""https://docs.google.com/spreadsheets/d/1ZoRtUl0m9T3TpY8H-9-ntNBO_zrYrgNKuAe_XfTeFnU"",""1-12每月!$F6"")"),150874.0)</f>
        <v>150874</v>
      </c>
      <c r="AL6" s="83">
        <f>IFERROR(__xludf.DUMMYFUNCTION("IMPORTRANGE(""https://docs.google.com/spreadsheets/d/1Y9Uv46r1nA3ixCGwTWZqhGQWDt4KVX4iXmhJgHL5CGQ"",""1-12每月!$F6"")"),89579.0)</f>
        <v>89579</v>
      </c>
      <c r="AM6" s="83">
        <f>IFERROR(__xludf.DUMMYFUNCTION("IMPORTRANGE(""https://docs.google.com/spreadsheets/d/1E3X732-CKfouAVQOwKyrePWwI1Bwg9NHD0VD42lyiu4/edit?gid=1513765949#gid=1513765949"",""1-12每月!$F6"")"),107881.0)</f>
        <v>107881</v>
      </c>
      <c r="AN6" s="83"/>
      <c r="AO6" s="83"/>
      <c r="AP6" s="83"/>
      <c r="AQ6" s="83"/>
      <c r="AR6" s="84"/>
    </row>
    <row r="7" ht="15.75" customHeight="1">
      <c r="A7" s="85">
        <v>3.0</v>
      </c>
      <c r="B7" s="83"/>
      <c r="C7" s="83"/>
      <c r="D7" s="83"/>
      <c r="E7" s="83"/>
      <c r="F7" s="83"/>
      <c r="G7" s="83"/>
      <c r="H7" s="83"/>
      <c r="I7" s="83"/>
      <c r="J7" s="83"/>
      <c r="K7" s="83"/>
      <c r="L7" s="83"/>
      <c r="M7" s="83">
        <f>IFERROR(__xludf.DUMMYFUNCTION("IMPORTRANGE(""https://docs.google.com/spreadsheets/d/1dffLfsI-BGVz-K0zdrsWfGaqrFfoLJAhq001merp6Rk/edit?usp=sharing"",""1-12每月!$D7"")"),54128.0)</f>
        <v>54128</v>
      </c>
      <c r="N7" s="83">
        <f>IFERROR(__xludf.DUMMYFUNCTION("IMPORTRANGE(""https://docs.google.com/spreadsheets/d/1SzxpZPUDnwxS8mSOLGEH5NbWU7ZW_VcRmIn7psOvuTs/edit#gid=1650312294?usp=sharing"",""1-12每月!$D7"")"),50014.0)</f>
        <v>50014</v>
      </c>
      <c r="O7" s="83">
        <f>IFERROR(__xludf.DUMMYFUNCTION("IMPORTRANGE(""https://docs.google.com/spreadsheets/d/1ta9i7cAkOPF0LapwmU_YEDA4IPQvKNuaYVMY8vIVPwI/edit#gid=1607741572?usp=sharing"",""1-12每月!$D7"")"),50475.0)</f>
        <v>50475</v>
      </c>
      <c r="P7" s="83">
        <f>IFERROR(__xludf.DUMMYFUNCTION("IMPORTRANGE(""https://docs.google.com/spreadsheets/d/1f4WWQfcNBonYqfzcaBhJlHzPwh34sx4U6naz-Aw2G4I/edit#gid=2097425894?usp=sharing"",""1-12每月!$F7"")"),53152.0)</f>
        <v>53152</v>
      </c>
      <c r="Q7" s="83">
        <f>IFERROR(__xludf.DUMMYFUNCTION("IMPORTRANGE(""https://docs.google.com/spreadsheets/d/1pCmmgCj7Y_SQPZLsiVd3yvND9oLyryVfBwNxC6OUwm8/edit#gid=170549058?usp=sharing"",""1-12每月!$F7"")"),31207.0)</f>
        <v>31207</v>
      </c>
      <c r="R7" s="83">
        <f>IFERROR(__xludf.DUMMYFUNCTION("IMPORTRANGE(""https://docs.google.com/spreadsheets/d/1hrRqxxacrLITR_JGMRVbhSRCIZIU8gAv0o_aOkHz68M/edit#gid=763155734?usp=sharing"",""1-12每月!$F7"")"),33946.0)</f>
        <v>33946</v>
      </c>
      <c r="S7" s="83">
        <f>IFERROR(__xludf.DUMMYFUNCTION("IMPORTRANGE(""https://docs.google.com/spreadsheets/d/1AKS3XWcgwNLFRbGU-lJ3UBHDQNdglvKwrv4_Bpp1IjU/edit#gid=73116376?usp=sharing"",""1-12每月!$E7"")"),40414.0)</f>
        <v>40414</v>
      </c>
      <c r="T7" s="83">
        <f>IFERROR(__xludf.DUMMYFUNCTION("IMPORTRANGE(""https://docs.google.com/spreadsheets/d/1wGGXGHkWT5JsjUDTy4FnHN_O9ae4MADbMykqIWVThNc/edit#gid=297806252?usp=sharing"",""1-12每月!$E7"")"),32956.0)</f>
        <v>32956</v>
      </c>
      <c r="U7" s="83">
        <f>IFERROR(__xludf.DUMMYFUNCTION("IMPORTRANGE(""https://docs.google.com/spreadsheets/d/1ShTgtQQDjMKpYx-TJ_lwdxnWSzJNUcNnzR3fJjoaZec/edit#gid=66107904?usp=sharing"",""1-12每月!$E7"")"),31622.0)</f>
        <v>31622</v>
      </c>
      <c r="V7" s="83">
        <f>IFERROR(__xludf.DUMMYFUNCTION("IMPORTRANGE(""https://docs.google.com/spreadsheets/d/1_eyuyKbXFCJd6fVFEKQwugwYCbRCmmWN_M7XR1dtOb8/edit#gid=951918895?usp=sharing"",""1-12每月!$E7"")"),51014.0)</f>
        <v>51014</v>
      </c>
      <c r="W7" s="83">
        <f>IFERROR(__xludf.DUMMYFUNCTION("IMPORTRANGE(""https://docs.google.com/spreadsheets/d/1yEpHI9_Y4w8sRmPP9C-mYK4NMfVuTJifGLMj4FMdqek/edit#gid=799087919?usp=sharing"",""1-12每月!$E7"")"),61656.0)</f>
        <v>61656</v>
      </c>
      <c r="X7" s="83">
        <f>IFERROR(__xludf.DUMMYFUNCTION("IMPORTRANGE(""https://docs.google.com/spreadsheets/d/1Vbyb9GlrY6jOwvoGyZFB96f7WXYjkT6gvTE37DPDXDI/edit#gid=9591526?usp=sharing"",""1-12每月!$E7"")"),47859.0)</f>
        <v>47859</v>
      </c>
      <c r="Y7" s="83">
        <f>IFERROR(__xludf.DUMMYFUNCTION("IMPORTRANGE(""https://docs.google.com/spreadsheets/d/1qeckoJwzWQAg8zQ80D-QJP4pnVYH6l2juaUyHtOu6y8/edit#gid=1905704096?usp=sharing"",""1-12每月!$E7"")"),65792.0)</f>
        <v>65792</v>
      </c>
      <c r="Z7" s="83">
        <f>IFERROR(__xludf.DUMMYFUNCTION("IMPORTRANGE(""https://docs.google.com/spreadsheets/d/1BcbIi7AD1VDpy_wMQ0YjCG-iuQy0_tkCVqr72a0Pwbg/edit#gid=1099513714?usp=sharing"",""1-12每月!$E7"")"),57752.0)</f>
        <v>57752</v>
      </c>
      <c r="AA7" s="83">
        <f>IFERROR(__xludf.DUMMYFUNCTION("IMPORTRANGE(""https://docs.google.com/spreadsheets/d/1cIFCQPaYiOmIt2O3vkEx5eto8sfRtx3JtAWJ1fv31HI/edit#gid=432689709?usp=sharing"",""1-12每月!$E7"")"),76307.0)</f>
        <v>76307</v>
      </c>
      <c r="AB7" s="83">
        <f>IFERROR(__xludf.DUMMYFUNCTION("IMPORTRANGE(""https://docs.google.com/spreadsheets/d/1C8ECYlbes2CJkHHGOAyOYVfrP7PdlGr8RMjK7KZd0_o/edit#gid=495469277?usp=sharing"",""1-12每月!$E7"")"),60007.0)</f>
        <v>60007</v>
      </c>
      <c r="AC7" s="83">
        <f>IFERROR(__xludf.DUMMYFUNCTION("IMPORTRANGE(""https://docs.google.com/spreadsheets/d/1ettcrhLPK6tkvHZxDTyU2bGIpGSi2ynG91ln0fqz9iE/edit#gid=1364213386?usp=sharing"",""1-12每月!$F7"")"),57118.0)</f>
        <v>57118</v>
      </c>
      <c r="AD7" s="83">
        <f>IFERROR(__xludf.DUMMYFUNCTION("IMPORTRANGE(""https://docs.google.com/spreadsheets/d/1xUhm-MtqzfUO8M5WEWVv9w2EFkv5_PHMOsAlA3CcCWU/edit#gid=1700470961?usp=sharing"",""1-12每月!$F7"")"),39976.0)</f>
        <v>39976</v>
      </c>
      <c r="AE7" s="83">
        <f>IFERROR(__xludf.DUMMYFUNCTION("IMPORTRANGE(""https://docs.google.com/spreadsheets/d/1DP8wl0QQLYSZ8R2aQ8wNmiAUXn7lVrqMsdTccpBmnQc/edit#gid=1145593933?usp=sharing"",""1-12每月!$F7"")"),36136.0)</f>
        <v>36136</v>
      </c>
      <c r="AF7" s="83">
        <f>IFERROR(__xludf.DUMMYFUNCTION("IMPORTRANGE(""https://docs.google.com/spreadsheets/d/17hbKAHrpKLEbG3r9s1Ay3fOGzvOBzSu3Bn_CD4JNLhY/edit#gid=756408948?usp=sharing"",""1-12每月!$F7"")"),45667.50000000001)</f>
        <v>45667.5</v>
      </c>
      <c r="AG7" s="83">
        <f>IFERROR(__xludf.DUMMYFUNCTION("IMPORTRANGE(""https://docs.google.com/spreadsheets/d/1qeecSCKZ78ENQrsyUYpSNZqvo0-Y-uuGKFA1F06yLEM/edit#gid=874445072?usp=sharing"",""1-12每月!$F7"")"),24817.0)</f>
        <v>24817</v>
      </c>
      <c r="AH7" s="83">
        <f>IFERROR(__xludf.DUMMYFUNCTION("IMPORTRANGE(""https://docs.google.com/spreadsheets/d/1BSX0y1fIKw9-3VTr627UzGVjwKe74kwBkuFnvlaueNo/edit#gid=1113655470"",""1-12每月!$F7"")"),29355.0)</f>
        <v>29355</v>
      </c>
      <c r="AI7" s="83">
        <f>IFERROR(__xludf.DUMMYFUNCTION("IMPORTRANGE(""https://docs.google.com/spreadsheets/d/1bQzlrSGiVqBrfQ6FKnw67vhBELFgthonryGzmQabVFQ/edit#gid=1015697053?usp=sharing"",""1-12每月!$F7"")"),27847.0)</f>
        <v>27847</v>
      </c>
      <c r="AJ7" s="83">
        <f>IFERROR(__xludf.DUMMYFUNCTION("IMPORTRANGE(""https://docs.google.com/spreadsheets/d/1Pem-mgCz4CF6EUKNVxDQx16g9jie0F5YNDQ_cPnMHYs"",""1-12每月!$F7"")"),18953.0)</f>
        <v>18953</v>
      </c>
      <c r="AK7" s="83">
        <f>IFERROR(__xludf.DUMMYFUNCTION("IMPORTRANGE(""https://docs.google.com/spreadsheets/d/1ZoRtUl0m9T3TpY8H-9-ntNBO_zrYrgNKuAe_XfTeFnU"",""1-12每月!$F7"")"),95740.0)</f>
        <v>95740</v>
      </c>
      <c r="AL7" s="83">
        <f>IFERROR(__xludf.DUMMYFUNCTION("IMPORTRANGE(""https://docs.google.com/spreadsheets/d/1Y9Uv46r1nA3ixCGwTWZqhGQWDt4KVX4iXmhJgHL5CGQ"",""1-12每月!$F7"")"),92645.0)</f>
        <v>92645</v>
      </c>
      <c r="AM7" s="83">
        <f>IFERROR(__xludf.DUMMYFUNCTION("IMPORTRANGE(""https://docs.google.com/spreadsheets/d/1E3X732-CKfouAVQOwKyrePWwI1Bwg9NHD0VD42lyiu4/edit?gid=1513765949#gid=1513765949"",""1-12每月!$F7"")"),59049.0)</f>
        <v>59049</v>
      </c>
      <c r="AN7" s="83"/>
      <c r="AO7" s="83"/>
      <c r="AP7" s="83"/>
      <c r="AQ7" s="83"/>
      <c r="AR7" s="84"/>
    </row>
    <row r="8" ht="15.75" customHeight="1">
      <c r="A8" s="85">
        <v>4.0</v>
      </c>
      <c r="B8" s="83"/>
      <c r="C8" s="83"/>
      <c r="D8" s="83"/>
      <c r="E8" s="83"/>
      <c r="F8" s="83"/>
      <c r="G8" s="83"/>
      <c r="H8" s="83"/>
      <c r="I8" s="83"/>
      <c r="J8" s="83"/>
      <c r="K8" s="83"/>
      <c r="L8" s="83"/>
      <c r="M8" s="83">
        <f>IFERROR(__xludf.DUMMYFUNCTION("IMPORTRANGE(""https://docs.google.com/spreadsheets/d/1dffLfsI-BGVz-K0zdrsWfGaqrFfoLJAhq001merp6Rk/edit?usp=sharing"",""1-12每月!$D8"")"),86780.0)</f>
        <v>86780</v>
      </c>
      <c r="N8" s="83">
        <f>IFERROR(__xludf.DUMMYFUNCTION("IMPORTRANGE(""https://docs.google.com/spreadsheets/d/1SzxpZPUDnwxS8mSOLGEH5NbWU7ZW_VcRmIn7psOvuTs/edit#gid=1650312294?usp=sharing"",""1-12每月!$D8"")"),60523.0)</f>
        <v>60523</v>
      </c>
      <c r="O8" s="83">
        <f>IFERROR(__xludf.DUMMYFUNCTION("IMPORTRANGE(""https://docs.google.com/spreadsheets/d/1ta9i7cAkOPF0LapwmU_YEDA4IPQvKNuaYVMY8vIVPwI/edit#gid=1607741572?usp=sharing"",""1-12每月!$D8"")"),50374.0)</f>
        <v>50374</v>
      </c>
      <c r="P8" s="83">
        <f>IFERROR(__xludf.DUMMYFUNCTION("IMPORTRANGE(""https://docs.google.com/spreadsheets/d/1f4WWQfcNBonYqfzcaBhJlHzPwh34sx4U6naz-Aw2G4I/edit#gid=2097425894?usp=sharing"",""1-12每月!$F8"")"),41625.0)</f>
        <v>41625</v>
      </c>
      <c r="Q8" s="83">
        <f>IFERROR(__xludf.DUMMYFUNCTION("IMPORTRANGE(""https://docs.google.com/spreadsheets/d/1pCmmgCj7Y_SQPZLsiVd3yvND9oLyryVfBwNxC6OUwm8/edit#gid=170549058?usp=sharing"",""1-12每月!$F8"")"),36526.0)</f>
        <v>36526</v>
      </c>
      <c r="R8" s="83">
        <f>IFERROR(__xludf.DUMMYFUNCTION("IMPORTRANGE(""https://docs.google.com/spreadsheets/d/1hrRqxxacrLITR_JGMRVbhSRCIZIU8gAv0o_aOkHz68M/edit#gid=763155734?usp=sharing"",""1-12每月!$F8"")"),37780.0)</f>
        <v>37780</v>
      </c>
      <c r="S8" s="83">
        <f>IFERROR(__xludf.DUMMYFUNCTION("IMPORTRANGE(""https://docs.google.com/spreadsheets/d/1AKS3XWcgwNLFRbGU-lJ3UBHDQNdglvKwrv4_Bpp1IjU/edit#gid=73116376?usp=sharing"",""1-12每月!$E8"")"),42525.0)</f>
        <v>42525</v>
      </c>
      <c r="T8" s="83">
        <f>IFERROR(__xludf.DUMMYFUNCTION("IMPORTRANGE(""https://docs.google.com/spreadsheets/d/1wGGXGHkWT5JsjUDTy4FnHN_O9ae4MADbMykqIWVThNc/edit#gid=297806252?usp=sharing"",""1-12每月!$E8"")"),39549.0)</f>
        <v>39549</v>
      </c>
      <c r="U8" s="83">
        <f>IFERROR(__xludf.DUMMYFUNCTION("IMPORTRANGE(""https://docs.google.com/spreadsheets/d/1ShTgtQQDjMKpYx-TJ_lwdxnWSzJNUcNnzR3fJjoaZec/edit#gid=66107904?usp=sharing"",""1-12每月!$E8"")"),37231.0)</f>
        <v>37231</v>
      </c>
      <c r="V8" s="83">
        <f>IFERROR(__xludf.DUMMYFUNCTION("IMPORTRANGE(""https://docs.google.com/spreadsheets/d/1_eyuyKbXFCJd6fVFEKQwugwYCbRCmmWN_M7XR1dtOb8/edit#gid=951918895?usp=sharing"",""1-12每月!$E8"")"),75165.0)</f>
        <v>75165</v>
      </c>
      <c r="W8" s="83">
        <f>IFERROR(__xludf.DUMMYFUNCTION("IMPORTRANGE(""https://docs.google.com/spreadsheets/d/1yEpHI9_Y4w8sRmPP9C-mYK4NMfVuTJifGLMj4FMdqek/edit#gid=799087919?usp=sharing"",""1-12每月!$E8"")"),76309.0)</f>
        <v>76309</v>
      </c>
      <c r="X8" s="83">
        <f>IFERROR(__xludf.DUMMYFUNCTION("IMPORTRANGE(""https://docs.google.com/spreadsheets/d/1Vbyb9GlrY6jOwvoGyZFB96f7WXYjkT6gvTE37DPDXDI/edit#gid=9591526?usp=sharing"",""1-12每月!$E8"")"),67969.0)</f>
        <v>67969</v>
      </c>
      <c r="Y8" s="83">
        <f>IFERROR(__xludf.DUMMYFUNCTION("IMPORTRANGE(""https://docs.google.com/spreadsheets/d/1qeckoJwzWQAg8zQ80D-QJP4pnVYH6l2juaUyHtOu6y8/edit#gid=1905704096?usp=sharing"",""1-12每月!$E8"")"),73009.0)</f>
        <v>73009</v>
      </c>
      <c r="Z8" s="83">
        <f>IFERROR(__xludf.DUMMYFUNCTION("IMPORTRANGE(""https://docs.google.com/spreadsheets/d/1BcbIi7AD1VDpy_wMQ0YjCG-iuQy0_tkCVqr72a0Pwbg/edit#gid=1099513714?usp=sharing"",""1-12每月!$E8"")"),70801.0)</f>
        <v>70801</v>
      </c>
      <c r="AA8" s="83">
        <f>IFERROR(__xludf.DUMMYFUNCTION("IMPORTRANGE(""https://docs.google.com/spreadsheets/d/1cIFCQPaYiOmIt2O3vkEx5eto8sfRtx3JtAWJ1fv31HI/edit#gid=432689709?usp=sharing"",""1-12每月!$E8"")"),79265.0)</f>
        <v>79265</v>
      </c>
      <c r="AB8" s="83">
        <f>IFERROR(__xludf.DUMMYFUNCTION("IMPORTRANGE(""https://docs.google.com/spreadsheets/d/1C8ECYlbes2CJkHHGOAyOYVfrP7PdlGr8RMjK7KZd0_o/edit#gid=495469277?usp=sharing"",""1-12每月!$E8"")"),67747.0)</f>
        <v>67747</v>
      </c>
      <c r="AC8" s="83">
        <f>IFERROR(__xludf.DUMMYFUNCTION("IMPORTRANGE(""https://docs.google.com/spreadsheets/d/1ettcrhLPK6tkvHZxDTyU2bGIpGSi2ynG91ln0fqz9iE/edit#gid=1364213386?usp=sharing"",""1-12每月!$F8"")"),63885.0)</f>
        <v>63885</v>
      </c>
      <c r="AD8" s="83">
        <f>IFERROR(__xludf.DUMMYFUNCTION("IMPORTRANGE(""https://docs.google.com/spreadsheets/d/1xUhm-MtqzfUO8M5WEWVv9w2EFkv5_PHMOsAlA3CcCWU/edit#gid=1700470961?usp=sharing"",""1-12每月!$F8"")"),57186.0)</f>
        <v>57186</v>
      </c>
      <c r="AE8" s="83">
        <f>IFERROR(__xludf.DUMMYFUNCTION("IMPORTRANGE(""https://docs.google.com/spreadsheets/d/1DP8wl0QQLYSZ8R2aQ8wNmiAUXn7lVrqMsdTccpBmnQc/edit#gid=1145593933?usp=sharing"",""1-12每月!$F8"")"),48227.0)</f>
        <v>48227</v>
      </c>
      <c r="AF8" s="83">
        <f>IFERROR(__xludf.DUMMYFUNCTION("IMPORTRANGE(""https://docs.google.com/spreadsheets/d/17hbKAHrpKLEbG3r9s1Ay3fOGzvOBzSu3Bn_CD4JNLhY/edit#gid=756408948?usp=sharing"",""1-12每月!$F8"")"),45727.0)</f>
        <v>45727</v>
      </c>
      <c r="AG8" s="83">
        <f>IFERROR(__xludf.DUMMYFUNCTION("IMPORTRANGE(""https://docs.google.com/spreadsheets/d/1qeecSCKZ78ENQrsyUYpSNZqvo0-Y-uuGKFA1F06yLEM/edit#gid=874445072?usp=sharing"",""1-12每月!$F8"")"),23767.0)</f>
        <v>23767</v>
      </c>
      <c r="AH8" s="83">
        <f>IFERROR(__xludf.DUMMYFUNCTION("IMPORTRANGE(""https://docs.google.com/spreadsheets/d/1BSX0y1fIKw9-3VTr627UzGVjwKe74kwBkuFnvlaueNo/edit#gid=1113655470"",""1-12每月!$F8"")"),33924.0)</f>
        <v>33924</v>
      </c>
      <c r="AI8" s="83">
        <f>IFERROR(__xludf.DUMMYFUNCTION("IMPORTRANGE(""https://docs.google.com/spreadsheets/d/1bQzlrSGiVqBrfQ6FKnw67vhBELFgthonryGzmQabVFQ/edit#gid=1015697053?usp=sharing"",""1-12每月!$F8"")"),30859.0)</f>
        <v>30859</v>
      </c>
      <c r="AJ8" s="83">
        <f>IFERROR(__xludf.DUMMYFUNCTION("IMPORTRANGE(""https://docs.google.com/spreadsheets/d/1Pem-mgCz4CF6EUKNVxDQx16g9jie0F5YNDQ_cPnMHYs"",""1-12每月!$F8"")"),41199.0)</f>
        <v>41199</v>
      </c>
      <c r="AK8" s="83">
        <f>IFERROR(__xludf.DUMMYFUNCTION("IMPORTRANGE(""https://docs.google.com/spreadsheets/d/1ZoRtUl0m9T3TpY8H-9-ntNBO_zrYrgNKuAe_XfTeFnU"",""1-12每月!$F8"")"),77210.0)</f>
        <v>77210</v>
      </c>
      <c r="AL8" s="83">
        <f>IFERROR(__xludf.DUMMYFUNCTION("IMPORTRANGE(""https://docs.google.com/spreadsheets/d/1Y9Uv46r1nA3ixCGwTWZqhGQWDt4KVX4iXmhJgHL5CGQ"",""1-12每月!$F8"")"),113498.0)</f>
        <v>113498</v>
      </c>
      <c r="AM8" s="83">
        <f>IFERROR(__xludf.DUMMYFUNCTION("IMPORTRANGE(""https://docs.google.com/spreadsheets/d/1E3X732-CKfouAVQOwKyrePWwI1Bwg9NHD0VD42lyiu4/edit?gid=1513765949#gid=1513765949"",""1-12每月!$F8"")"),73393.0)</f>
        <v>73393</v>
      </c>
      <c r="AN8" s="83"/>
      <c r="AO8" s="83"/>
      <c r="AP8" s="83"/>
      <c r="AQ8" s="83"/>
      <c r="AR8" s="84"/>
    </row>
    <row r="9" ht="15.75" customHeight="1">
      <c r="A9" s="85">
        <v>5.0</v>
      </c>
      <c r="B9" s="83"/>
      <c r="C9" s="83"/>
      <c r="D9" s="83"/>
      <c r="E9" s="83"/>
      <c r="F9" s="83"/>
      <c r="G9" s="83"/>
      <c r="H9" s="83"/>
      <c r="I9" s="83"/>
      <c r="J9" s="83"/>
      <c r="K9" s="83"/>
      <c r="L9" s="83"/>
      <c r="M9" s="83">
        <f>IFERROR(__xludf.DUMMYFUNCTION("IMPORTRANGE(""https://docs.google.com/spreadsheets/d/1dffLfsI-BGVz-K0zdrsWfGaqrFfoLJAhq001merp6Rk/edit?usp=sharing"",""1-12每月!$D9"")"),58358.0)</f>
        <v>58358</v>
      </c>
      <c r="N9" s="83">
        <f>IFERROR(__xludf.DUMMYFUNCTION("IMPORTRANGE(""https://docs.google.com/spreadsheets/d/1SzxpZPUDnwxS8mSOLGEH5NbWU7ZW_VcRmIn7psOvuTs/edit#gid=1650312294?usp=sharing"",""1-12每月!$D9"")"),39767.0)</f>
        <v>39767</v>
      </c>
      <c r="O9" s="83">
        <f>IFERROR(__xludf.DUMMYFUNCTION("IMPORTRANGE(""https://docs.google.com/spreadsheets/d/1ta9i7cAkOPF0LapwmU_YEDA4IPQvKNuaYVMY8vIVPwI/edit#gid=1607741572?usp=sharing"",""1-12每月!$D9"")"),41371.0)</f>
        <v>41371</v>
      </c>
      <c r="P9" s="83">
        <f>IFERROR(__xludf.DUMMYFUNCTION("IMPORTRANGE(""https://docs.google.com/spreadsheets/d/1f4WWQfcNBonYqfzcaBhJlHzPwh34sx4U6naz-Aw2G4I/edit#gid=2097425894?usp=sharing"",""1-12每月!$F9"")"),14212.0)</f>
        <v>14212</v>
      </c>
      <c r="Q9" s="83">
        <f>IFERROR(__xludf.DUMMYFUNCTION("IMPORTRANGE(""https://docs.google.com/spreadsheets/d/1pCmmgCj7Y_SQPZLsiVd3yvND9oLyryVfBwNxC6OUwm8/edit#gid=170549058?usp=sharing"",""1-12每月!$F9"")"),39279.0)</f>
        <v>39279</v>
      </c>
      <c r="R9" s="83">
        <f>IFERROR(__xludf.DUMMYFUNCTION("IMPORTRANGE(""https://docs.google.com/spreadsheets/d/1hrRqxxacrLITR_JGMRVbhSRCIZIU8gAv0o_aOkHz68M/edit#gid=763155734?usp=sharing"",""1-12每月!$F9"")"),36801.0)</f>
        <v>36801</v>
      </c>
      <c r="S9" s="83">
        <f>IFERROR(__xludf.DUMMYFUNCTION("IMPORTRANGE(""https://docs.google.com/spreadsheets/d/1AKS3XWcgwNLFRbGU-lJ3UBHDQNdglvKwrv4_Bpp1IjU/edit#gid=73116376?usp=sharing"",""1-12每月!$E9"")"),32588.0)</f>
        <v>32588</v>
      </c>
      <c r="T9" s="83">
        <f>IFERROR(__xludf.DUMMYFUNCTION("IMPORTRANGE(""https://docs.google.com/spreadsheets/d/1wGGXGHkWT5JsjUDTy4FnHN_O9ae4MADbMykqIWVThNc/edit#gid=297806252?usp=sharing"",""1-12每月!$E9"")"),31064.0)</f>
        <v>31064</v>
      </c>
      <c r="U9" s="83">
        <f>IFERROR(__xludf.DUMMYFUNCTION("IMPORTRANGE(""https://docs.google.com/spreadsheets/d/1ShTgtQQDjMKpYx-TJ_lwdxnWSzJNUcNnzR3fJjoaZec/edit#gid=66107904?usp=sharing"",""1-12每月!$E9"")"),37244.0)</f>
        <v>37244</v>
      </c>
      <c r="V9" s="83">
        <f>IFERROR(__xludf.DUMMYFUNCTION("IMPORTRANGE(""https://docs.google.com/spreadsheets/d/1_eyuyKbXFCJd6fVFEKQwugwYCbRCmmWN_M7XR1dtOb8/edit#gid=951918895?usp=sharing"",""1-12每月!$E9"")"),80313.0)</f>
        <v>80313</v>
      </c>
      <c r="W9" s="83">
        <f>IFERROR(__xludf.DUMMYFUNCTION("IMPORTRANGE(""https://docs.google.com/spreadsheets/d/1yEpHI9_Y4w8sRmPP9C-mYK4NMfVuTJifGLMj4FMdqek/edit#gid=799087919?usp=sharing"",""1-12每月!$E9"")"),76130.0)</f>
        <v>76130</v>
      </c>
      <c r="X9" s="83">
        <f>IFERROR(__xludf.DUMMYFUNCTION("IMPORTRANGE(""https://docs.google.com/spreadsheets/d/1Vbyb9GlrY6jOwvoGyZFB96f7WXYjkT6gvTE37DPDXDI/edit#gid=9591526?usp=sharing"",""1-12每月!$E9"")"),49023.0)</f>
        <v>49023</v>
      </c>
      <c r="Y9" s="83">
        <f>IFERROR(__xludf.DUMMYFUNCTION("IMPORTRANGE(""https://docs.google.com/spreadsheets/d/1qeckoJwzWQAg8zQ80D-QJP4pnVYH6l2juaUyHtOu6y8/edit#gid=1905704096?usp=sharing"",""1-12每月!$E9"")"),63111.0)</f>
        <v>63111</v>
      </c>
      <c r="Z9" s="83">
        <f>IFERROR(__xludf.DUMMYFUNCTION("IMPORTRANGE(""https://docs.google.com/spreadsheets/d/1BcbIi7AD1VDpy_wMQ0YjCG-iuQy0_tkCVqr72a0Pwbg/edit#gid=1099513714?usp=sharing"",""1-12每月!$E9"")"),55161.0)</f>
        <v>55161</v>
      </c>
      <c r="AA9" s="83">
        <f>IFERROR(__xludf.DUMMYFUNCTION("IMPORTRANGE(""https://docs.google.com/spreadsheets/d/1cIFCQPaYiOmIt2O3vkEx5eto8sfRtx3JtAWJ1fv31HI/edit#gid=432689709?usp=sharing"",""1-12每月!$E9"")"),75747.0)</f>
        <v>75747</v>
      </c>
      <c r="AB9" s="83">
        <f>IFERROR(__xludf.DUMMYFUNCTION("IMPORTRANGE(""https://docs.google.com/spreadsheets/d/1C8ECYlbes2CJkHHGOAyOYVfrP7PdlGr8RMjK7KZd0_o/edit#gid=495469277?usp=sharing"",""1-12每月!$E9"")"),70592.0)</f>
        <v>70592</v>
      </c>
      <c r="AC9" s="83">
        <f>IFERROR(__xludf.DUMMYFUNCTION("IMPORTRANGE(""https://docs.google.com/spreadsheets/d/1ettcrhLPK6tkvHZxDTyU2bGIpGSi2ynG91ln0fqz9iE/edit#gid=1364213386?usp=sharing"",""1-12每月!$F9"")"),58938.0)</f>
        <v>58938</v>
      </c>
      <c r="AD9" s="83">
        <f>IFERROR(__xludf.DUMMYFUNCTION("IMPORTRANGE(""https://docs.google.com/spreadsheets/d/1xUhm-MtqzfUO8M5WEWVv9w2EFkv5_PHMOsAlA3CcCWU/edit#gid=1700470961?usp=sharing"",""1-12每月!$F9"")"),52629.0)</f>
        <v>52629</v>
      </c>
      <c r="AE9" s="83">
        <f>IFERROR(__xludf.DUMMYFUNCTION("IMPORTRANGE(""https://docs.google.com/spreadsheets/d/1DP8wl0QQLYSZ8R2aQ8wNmiAUXn7lVrqMsdTccpBmnQc/edit#gid=1145593933?usp=sharing"",""1-12每月!$F9"")"),32009.0)</f>
        <v>32009</v>
      </c>
      <c r="AF9" s="83">
        <f>IFERROR(__xludf.DUMMYFUNCTION("IMPORTRANGE(""https://docs.google.com/spreadsheets/d/17hbKAHrpKLEbG3r9s1Ay3fOGzvOBzSu3Bn_CD4JNLhY/edit#gid=756408948?usp=sharing"",""1-12每月!$F9"")"),37956.58)</f>
        <v>37956.58</v>
      </c>
      <c r="AG9" s="83">
        <f>IFERROR(__xludf.DUMMYFUNCTION("IMPORTRANGE(""https://docs.google.com/spreadsheets/d/1qeecSCKZ78ENQrsyUYpSNZqvo0-Y-uuGKFA1F06yLEM/edit#gid=874445072?usp=sharing"",""1-12每月!$F9"")"),24312.0)</f>
        <v>24312</v>
      </c>
      <c r="AH9" s="83">
        <f>IFERROR(__xludf.DUMMYFUNCTION("IMPORTRANGE(""https://docs.google.com/spreadsheets/d/1BSX0y1fIKw9-3VTr627UzGVjwKe74kwBkuFnvlaueNo/edit#gid=1113655470"",""1-12每月!$F9"")"),14687.0)</f>
        <v>14687</v>
      </c>
      <c r="AI9" s="83">
        <f>IFERROR(__xludf.DUMMYFUNCTION("IMPORTRANGE(""https://docs.google.com/spreadsheets/d/1bQzlrSGiVqBrfQ6FKnw67vhBELFgthonryGzmQabVFQ/edit#gid=1015697053?usp=sharing"",""1-12每月!$F9"")"),13353.0)</f>
        <v>13353</v>
      </c>
      <c r="AJ9" s="83">
        <f>IFERROR(__xludf.DUMMYFUNCTION("IMPORTRANGE(""https://docs.google.com/spreadsheets/d/1Pem-mgCz4CF6EUKNVxDQx16g9jie0F5YNDQ_cPnMHYs"",""1-12每月!$F9"")"),23981.0)</f>
        <v>23981</v>
      </c>
      <c r="AK9" s="83">
        <f>IFERROR(__xludf.DUMMYFUNCTION("IMPORTRANGE(""https://docs.google.com/spreadsheets/d/1ZoRtUl0m9T3TpY8H-9-ntNBO_zrYrgNKuAe_XfTeFnU"",""1-12每月!$F9"")"),70107.0)</f>
        <v>70107</v>
      </c>
      <c r="AL9" s="83">
        <f>IFERROR(__xludf.DUMMYFUNCTION("IMPORTRANGE(""https://docs.google.com/spreadsheets/d/1Y9Uv46r1nA3ixCGwTWZqhGQWDt4KVX4iXmhJgHL5CGQ"",""1-12每月!$F9"")"),97978.0)</f>
        <v>97978</v>
      </c>
      <c r="AM9" s="83">
        <f>IFERROR(__xludf.DUMMYFUNCTION("IMPORTRANGE(""https://docs.google.com/spreadsheets/d/1E3X732-CKfouAVQOwKyrePWwI1Bwg9NHD0VD42lyiu4/edit?gid=1513765949#gid=1513765949"",""1-12每月!$F9"")"),62363.0)</f>
        <v>62363</v>
      </c>
      <c r="AN9" s="83"/>
      <c r="AO9" s="83"/>
      <c r="AP9" s="83"/>
      <c r="AQ9" s="83"/>
      <c r="AR9" s="84"/>
    </row>
    <row r="10" ht="15.75" customHeight="1">
      <c r="A10" s="85">
        <v>6.0</v>
      </c>
      <c r="B10" s="83"/>
      <c r="C10" s="83"/>
      <c r="D10" s="83"/>
      <c r="E10" s="83"/>
      <c r="F10" s="83"/>
      <c r="G10" s="83"/>
      <c r="H10" s="83"/>
      <c r="I10" s="83"/>
      <c r="J10" s="83"/>
      <c r="K10" s="83"/>
      <c r="L10" s="83"/>
      <c r="M10" s="83">
        <f>IFERROR(__xludf.DUMMYFUNCTION("IMPORTRANGE(""https://docs.google.com/spreadsheets/d/1dffLfsI-BGVz-K0zdrsWfGaqrFfoLJAhq001merp6Rk/edit?usp=sharing"",""1-12每月!$D10"")"),57922.0)</f>
        <v>57922</v>
      </c>
      <c r="N10" s="83">
        <f>IFERROR(__xludf.DUMMYFUNCTION("IMPORTRANGE(""https://docs.google.com/spreadsheets/d/1SzxpZPUDnwxS8mSOLGEH5NbWU7ZW_VcRmIn7psOvuTs/edit#gid=1650312294?usp=sharing"",""1-12每月!$D10"")"),42008.0)</f>
        <v>42008</v>
      </c>
      <c r="O10" s="83">
        <f>IFERROR(__xludf.DUMMYFUNCTION("IMPORTRANGE(""https://docs.google.com/spreadsheets/d/1ta9i7cAkOPF0LapwmU_YEDA4IPQvKNuaYVMY8vIVPwI/edit#gid=1607741572?usp=sharing"",""1-12每月!$D10"")"),41977.0)</f>
        <v>41977</v>
      </c>
      <c r="P10" s="83">
        <f>IFERROR(__xludf.DUMMYFUNCTION("IMPORTRANGE(""https://docs.google.com/spreadsheets/d/1f4WWQfcNBonYqfzcaBhJlHzPwh34sx4U6naz-Aw2G4I/edit#gid=2097425894?usp=sharing"",""1-12每月!$F10"")"),24266.0)</f>
        <v>24266</v>
      </c>
      <c r="Q10" s="83">
        <f>IFERROR(__xludf.DUMMYFUNCTION("IMPORTRANGE(""https://docs.google.com/spreadsheets/d/1pCmmgCj7Y_SQPZLsiVd3yvND9oLyryVfBwNxC6OUwm8/edit#gid=170549058?usp=sharing"",""1-12每月!$F10"")"),40337.0)</f>
        <v>40337</v>
      </c>
      <c r="R10" s="83">
        <f>IFERROR(__xludf.DUMMYFUNCTION("IMPORTRANGE(""https://docs.google.com/spreadsheets/d/1hrRqxxacrLITR_JGMRVbhSRCIZIU8gAv0o_aOkHz68M/edit#gid=763155734?usp=sharing"",""1-12每月!$F10"")"),33489.0)</f>
        <v>33489</v>
      </c>
      <c r="S10" s="83">
        <f>IFERROR(__xludf.DUMMYFUNCTION("IMPORTRANGE(""https://docs.google.com/spreadsheets/d/1AKS3XWcgwNLFRbGU-lJ3UBHDQNdglvKwrv4_Bpp1IjU/edit#gid=73116376?usp=sharing"",""1-12每月!$E10"")"),37312.0)</f>
        <v>37312</v>
      </c>
      <c r="T10" s="83">
        <f>IFERROR(__xludf.DUMMYFUNCTION("IMPORTRANGE(""https://docs.google.com/spreadsheets/d/1wGGXGHkWT5JsjUDTy4FnHN_O9ae4MADbMykqIWVThNc/edit#gid=297806252?usp=sharing"",""1-12每月!$E10"")"),36026.0)</f>
        <v>36026</v>
      </c>
      <c r="U10" s="83">
        <f>IFERROR(__xludf.DUMMYFUNCTION("IMPORTRANGE(""https://docs.google.com/spreadsheets/d/1ShTgtQQDjMKpYx-TJ_lwdxnWSzJNUcNnzR3fJjoaZec/edit#gid=66107904?usp=sharing"",""1-12每月!$E10"")"),28809.0)</f>
        <v>28809</v>
      </c>
      <c r="V10" s="83">
        <f>IFERROR(__xludf.DUMMYFUNCTION("IMPORTRANGE(""https://docs.google.com/spreadsheets/d/1_eyuyKbXFCJd6fVFEKQwugwYCbRCmmWN_M7XR1dtOb8/edit#gid=951918895?usp=sharing"",""1-12每月!$E10"")"),45857.0)</f>
        <v>45857</v>
      </c>
      <c r="W10" s="83">
        <f>IFERROR(__xludf.DUMMYFUNCTION("IMPORTRANGE(""https://docs.google.com/spreadsheets/d/1yEpHI9_Y4w8sRmPP9C-mYK4NMfVuTJifGLMj4FMdqek/edit#gid=799087919?usp=sharing"",""1-12每月!$E10"")"),63005.0)</f>
        <v>63005</v>
      </c>
      <c r="X10" s="83">
        <f>IFERROR(__xludf.DUMMYFUNCTION("IMPORTRANGE(""https://docs.google.com/spreadsheets/d/1Vbyb9GlrY6jOwvoGyZFB96f7WXYjkT6gvTE37DPDXDI/edit#gid=9591526?usp=sharing"",""1-12每月!$E10"")"),46383.0)</f>
        <v>46383</v>
      </c>
      <c r="Y10" s="83">
        <f>IFERROR(__xludf.DUMMYFUNCTION("IMPORTRANGE(""https://docs.google.com/spreadsheets/d/1qeckoJwzWQAg8zQ80D-QJP4pnVYH6l2juaUyHtOu6y8/edit#gid=1905704096?usp=sharing"",""1-12每月!$E10"")"),48950.0)</f>
        <v>48950</v>
      </c>
      <c r="Z10" s="83">
        <f>IFERROR(__xludf.DUMMYFUNCTION("IMPORTRANGE(""https://docs.google.com/spreadsheets/d/1BcbIi7AD1VDpy_wMQ0YjCG-iuQy0_tkCVqr72a0Pwbg/edit#gid=1099513714?usp=sharing"",""1-12每月!$E10"")"),51975.0)</f>
        <v>51975</v>
      </c>
      <c r="AA10" s="83">
        <f>IFERROR(__xludf.DUMMYFUNCTION("IMPORTRANGE(""https://docs.google.com/spreadsheets/d/1cIFCQPaYiOmIt2O3vkEx5eto8sfRtx3JtAWJ1fv31HI/edit#gid=432689709?usp=sharing"",""1-12每月!$E10"")"),70314.0)</f>
        <v>70314</v>
      </c>
      <c r="AB10" s="83">
        <f>IFERROR(__xludf.DUMMYFUNCTION("IMPORTRANGE(""https://docs.google.com/spreadsheets/d/1C8ECYlbes2CJkHHGOAyOYVfrP7PdlGr8RMjK7KZd0_o/edit#gid=495469277?usp=sharing"",""1-12每月!$E10"")"),50075.0)</f>
        <v>50075</v>
      </c>
      <c r="AC10" s="83">
        <f>IFERROR(__xludf.DUMMYFUNCTION("IMPORTRANGE(""https://docs.google.com/spreadsheets/d/1ettcrhLPK6tkvHZxDTyU2bGIpGSi2ynG91ln0fqz9iE/edit#gid=1364213386?usp=sharing"",""1-12每月!$F10"")"),55730.0)</f>
        <v>55730</v>
      </c>
      <c r="AD10" s="83">
        <f>IFERROR(__xludf.DUMMYFUNCTION("IMPORTRANGE(""https://docs.google.com/spreadsheets/d/1xUhm-MtqzfUO8M5WEWVv9w2EFkv5_PHMOsAlA3CcCWU/edit#gid=1700470961?usp=sharing"",""1-12每月!$F10"")"),29053.0)</f>
        <v>29053</v>
      </c>
      <c r="AE10" s="83">
        <f>IFERROR(__xludf.DUMMYFUNCTION("IMPORTRANGE(""https://docs.google.com/spreadsheets/d/1DP8wl0QQLYSZ8R2aQ8wNmiAUXn7lVrqMsdTccpBmnQc/edit#gid=1145593933?usp=sharing"",""1-12每月!$F10"")"),33612.75)</f>
        <v>33612.75</v>
      </c>
      <c r="AF10" s="83">
        <f>IFERROR(__xludf.DUMMYFUNCTION("IMPORTRANGE(""https://docs.google.com/spreadsheets/d/17hbKAHrpKLEbG3r9s1Ay3fOGzvOBzSu3Bn_CD4JNLhY/edit#gid=756408948?usp=sharing"",""1-12每月!$F10"")"),41523.479999999996)</f>
        <v>41523.48</v>
      </c>
      <c r="AG10" s="83">
        <f>IFERROR(__xludf.DUMMYFUNCTION("IMPORTRANGE(""https://docs.google.com/spreadsheets/d/1qeecSCKZ78ENQrsyUYpSNZqvo0-Y-uuGKFA1F06yLEM/edit#gid=874445072?usp=sharing"",""1-12每月!$F10"")"),47576.0)</f>
        <v>47576</v>
      </c>
      <c r="AH10" s="83">
        <f>IFERROR(__xludf.DUMMYFUNCTION("IMPORTRANGE(""https://docs.google.com/spreadsheets/d/1BSX0y1fIKw9-3VTr627UzGVjwKe74kwBkuFnvlaueNo/edit#gid=1113655470"",""1-12每月!$F10"")"),0.0)</f>
        <v>0</v>
      </c>
      <c r="AI10" s="83">
        <f>IFERROR(__xludf.DUMMYFUNCTION("IMPORTRANGE(""https://docs.google.com/spreadsheets/d/1bQzlrSGiVqBrfQ6FKnw67vhBELFgthonryGzmQabVFQ/edit#gid=1015697053?usp=sharing"",""1-12每月!$F10"")"),26467.0)</f>
        <v>26467</v>
      </c>
      <c r="AJ10" s="83">
        <f>IFERROR(__xludf.DUMMYFUNCTION("IMPORTRANGE(""https://docs.google.com/spreadsheets/d/1Pem-mgCz4CF6EUKNVxDQx16g9jie0F5YNDQ_cPnMHYs"",""1-12每月!$F10"")"),34295.0)</f>
        <v>34295</v>
      </c>
      <c r="AK10" s="83">
        <f>IFERROR(__xludf.DUMMYFUNCTION("IMPORTRANGE(""https://docs.google.com/spreadsheets/d/1ZoRtUl0m9T3TpY8H-9-ntNBO_zrYrgNKuAe_XfTeFnU"",""1-12每月!$F10"")"),87063.0)</f>
        <v>87063</v>
      </c>
      <c r="AL10" s="83">
        <f>IFERROR(__xludf.DUMMYFUNCTION("IMPORTRANGE(""https://docs.google.com/spreadsheets/d/1Y9Uv46r1nA3ixCGwTWZqhGQWDt4KVX4iXmhJgHL5CGQ"",""1-12每月!$F10"")"),93482.0)</f>
        <v>93482</v>
      </c>
      <c r="AM10" s="83">
        <f>IFERROR(__xludf.DUMMYFUNCTION("IMPORTRANGE(""https://docs.google.com/spreadsheets/d/1E3X732-CKfouAVQOwKyrePWwI1Bwg9NHD0VD42lyiu4/edit?gid=1513765949#gid=1513765949"",""1-12每月!$F10"")"),45929.0)</f>
        <v>45929</v>
      </c>
      <c r="AN10" s="107"/>
      <c r="AO10" s="107"/>
      <c r="AP10" s="107"/>
      <c r="AQ10" s="107"/>
      <c r="AR10" s="108"/>
    </row>
    <row r="11" ht="15.75" customHeight="1">
      <c r="A11" s="85">
        <v>7.0</v>
      </c>
      <c r="B11" s="83"/>
      <c r="C11" s="83"/>
      <c r="D11" s="83"/>
      <c r="E11" s="83"/>
      <c r="F11" s="83"/>
      <c r="G11" s="83"/>
      <c r="H11" s="83"/>
      <c r="I11" s="83"/>
      <c r="J11" s="83"/>
      <c r="K11" s="83"/>
      <c r="L11" s="83"/>
      <c r="M11" s="83">
        <f>IFERROR(__xludf.DUMMYFUNCTION("IMPORTRANGE(""https://docs.google.com/spreadsheets/d/1dffLfsI-BGVz-K0zdrsWfGaqrFfoLJAhq001merp6Rk/edit?usp=sharing"",""1-12每月!$D11"")"),88538.0)</f>
        <v>88538</v>
      </c>
      <c r="N11" s="83">
        <f>IFERROR(__xludf.DUMMYFUNCTION("IMPORTRANGE(""https://docs.google.com/spreadsheets/d/1SzxpZPUDnwxS8mSOLGEH5NbWU7ZW_VcRmIn7psOvuTs/edit#gid=1650312294?usp=sharing"",""1-12每月!$D11"")"),59757.0)</f>
        <v>59757</v>
      </c>
      <c r="O11" s="83">
        <f>IFERROR(__xludf.DUMMYFUNCTION("IMPORTRANGE(""https://docs.google.com/spreadsheets/d/1ta9i7cAkOPF0LapwmU_YEDA4IPQvKNuaYVMY8vIVPwI/edit#gid=1607741572?usp=sharing"",""1-12每月!$D11"")"),72045.0)</f>
        <v>72045</v>
      </c>
      <c r="P11" s="83">
        <f>IFERROR(__xludf.DUMMYFUNCTION("IMPORTRANGE(""https://docs.google.com/spreadsheets/d/1f4WWQfcNBonYqfzcaBhJlHzPwh34sx4U6naz-Aw2G4I/edit#gid=2097425894?usp=sharing"",""1-12每月!$F11"")"),67985.0)</f>
        <v>67985</v>
      </c>
      <c r="Q11" s="83">
        <f>IFERROR(__xludf.DUMMYFUNCTION("IMPORTRANGE(""https://docs.google.com/spreadsheets/d/1pCmmgCj7Y_SQPZLsiVd3yvND9oLyryVfBwNxC6OUwm8/edit#gid=170549058?usp=sharing"",""1-12每月!$F11"")"),51052.0)</f>
        <v>51052</v>
      </c>
      <c r="R11" s="83">
        <f>IFERROR(__xludf.DUMMYFUNCTION("IMPORTRANGE(""https://docs.google.com/spreadsheets/d/1hrRqxxacrLITR_JGMRVbhSRCIZIU8gAv0o_aOkHz68M/edit#gid=763155734?usp=sharing"",""1-12每月!$F11"")"),44929.0)</f>
        <v>44929</v>
      </c>
      <c r="S11" s="83">
        <f>IFERROR(__xludf.DUMMYFUNCTION("IMPORTRANGE(""https://docs.google.com/spreadsheets/d/1AKS3XWcgwNLFRbGU-lJ3UBHDQNdglvKwrv4_Bpp1IjU/edit#gid=73116376?usp=sharing"",""1-12每月!$E11"")"),47764.0)</f>
        <v>47764</v>
      </c>
      <c r="T11" s="83">
        <f>IFERROR(__xludf.DUMMYFUNCTION("IMPORTRANGE(""https://docs.google.com/spreadsheets/d/1wGGXGHkWT5JsjUDTy4FnHN_O9ae4MADbMykqIWVThNc/edit#gid=297806252?usp=sharing"",""1-12每月!$E11"")"),49867.0)</f>
        <v>49867</v>
      </c>
      <c r="U11" s="83">
        <f>IFERROR(__xludf.DUMMYFUNCTION("IMPORTRANGE(""https://docs.google.com/spreadsheets/d/1ShTgtQQDjMKpYx-TJ_lwdxnWSzJNUcNnzR3fJjoaZec/edit#gid=66107904?usp=sharing"",""1-12每月!$E11"")"),46774.0)</f>
        <v>46774</v>
      </c>
      <c r="V11" s="83">
        <f>IFERROR(__xludf.DUMMYFUNCTION("IMPORTRANGE(""https://docs.google.com/spreadsheets/d/1_eyuyKbXFCJd6fVFEKQwugwYCbRCmmWN_M7XR1dtOb8/edit#gid=951918895?usp=sharing"",""1-12每月!$E11"")"),62222.0)</f>
        <v>62222</v>
      </c>
      <c r="W11" s="83">
        <f>IFERROR(__xludf.DUMMYFUNCTION("IMPORTRANGE(""https://docs.google.com/spreadsheets/d/1yEpHI9_Y4w8sRmPP9C-mYK4NMfVuTJifGLMj4FMdqek/edit#gid=799087919?usp=sharing"",""1-12每月!$E11"")"),75410.0)</f>
        <v>75410</v>
      </c>
      <c r="X11" s="83">
        <f>IFERROR(__xludf.DUMMYFUNCTION("IMPORTRANGE(""https://docs.google.com/spreadsheets/d/1Vbyb9GlrY6jOwvoGyZFB96f7WXYjkT6gvTE37DPDXDI/edit#gid=9591526?usp=sharing"",""1-12每月!$E11"")"),67399.0)</f>
        <v>67399</v>
      </c>
      <c r="Y11" s="83">
        <f>IFERROR(__xludf.DUMMYFUNCTION("IMPORTRANGE(""https://docs.google.com/spreadsheets/d/1qeckoJwzWQAg8zQ80D-QJP4pnVYH6l2juaUyHtOu6y8/edit#gid=1905704096?usp=sharing"",""1-12每月!$E11"")"),74788.0)</f>
        <v>74788</v>
      </c>
      <c r="Z11" s="83">
        <f>IFERROR(__xludf.DUMMYFUNCTION("IMPORTRANGE(""https://docs.google.com/spreadsheets/d/1BcbIi7AD1VDpy_wMQ0YjCG-iuQy0_tkCVqr72a0Pwbg/edit#gid=1099513714?usp=sharing"",""1-12每月!$E11"")"),72764.0)</f>
        <v>72764</v>
      </c>
      <c r="AA11" s="83">
        <f>IFERROR(__xludf.DUMMYFUNCTION("IMPORTRANGE(""https://docs.google.com/spreadsheets/d/1cIFCQPaYiOmIt2O3vkEx5eto8sfRtx3JtAWJ1fv31HI/edit#gid=432689709?usp=sharing"",""1-12每月!$E11"")"),92712.0)</f>
        <v>92712</v>
      </c>
      <c r="AB11" s="83">
        <f>IFERROR(__xludf.DUMMYFUNCTION("IMPORTRANGE(""https://docs.google.com/spreadsheets/d/1C8ECYlbes2CJkHHGOAyOYVfrP7PdlGr8RMjK7KZd0_o/edit#gid=495469277?usp=sharing"",""1-12每月!$E11"")"),66901.0)</f>
        <v>66901</v>
      </c>
      <c r="AC11" s="83">
        <f>IFERROR(__xludf.DUMMYFUNCTION("IMPORTRANGE(""https://docs.google.com/spreadsheets/d/1ettcrhLPK6tkvHZxDTyU2bGIpGSi2ynG91ln0fqz9iE/edit#gid=1364213386?usp=sharing"",""1-12每月!$F11"")"),69299.0)</f>
        <v>69299</v>
      </c>
      <c r="AD11" s="83">
        <f>IFERROR(__xludf.DUMMYFUNCTION("IMPORTRANGE(""https://docs.google.com/spreadsheets/d/1xUhm-MtqzfUO8M5WEWVv9w2EFkv5_PHMOsAlA3CcCWU/edit#gid=1700470961?usp=sharing"",""1-12每月!$F11"")"),46786.0)</f>
        <v>46786</v>
      </c>
      <c r="AE11" s="83">
        <f>IFERROR(__xludf.DUMMYFUNCTION("IMPORTRANGE(""https://docs.google.com/spreadsheets/d/1DP8wl0QQLYSZ8R2aQ8wNmiAUXn7lVrqMsdTccpBmnQc/edit#gid=1145593933?usp=sharing"",""1-12每月!$F11"")"),62804.0)</f>
        <v>62804</v>
      </c>
      <c r="AF11" s="83">
        <f>IFERROR(__xludf.DUMMYFUNCTION("IMPORTRANGE(""https://docs.google.com/spreadsheets/d/17hbKAHrpKLEbG3r9s1Ay3fOGzvOBzSu3Bn_CD4JNLhY/edit#gid=756408948?usp=sharing"",""1-12每月!$F11"")"),64871.66999999999)</f>
        <v>64871.67</v>
      </c>
      <c r="AG11" s="83">
        <f>IFERROR(__xludf.DUMMYFUNCTION("IMPORTRANGE(""https://docs.google.com/spreadsheets/d/1qeecSCKZ78ENQrsyUYpSNZqvo0-Y-uuGKFA1F06yLEM/edit#gid=874445072?usp=sharing"",""1-12每月!$F11"")"),76932.0)</f>
        <v>76932</v>
      </c>
      <c r="AH11" s="83">
        <f>IFERROR(__xludf.DUMMYFUNCTION("IMPORTRANGE(""https://docs.google.com/spreadsheets/d/1BSX0y1fIKw9-3VTr627UzGVjwKe74kwBkuFnvlaueNo/edit#gid=1113655470"",""1-12每月!$F11"")"),4160.0)</f>
        <v>4160</v>
      </c>
      <c r="AI11" s="83">
        <f>IFERROR(__xludf.DUMMYFUNCTION("IMPORTRANGE(""https://docs.google.com/spreadsheets/d/1bQzlrSGiVqBrfQ6FKnw67vhBELFgthonryGzmQabVFQ/edit#gid=1015697053?usp=sharing"",""1-12每月!$F11"")"),65634.0)</f>
        <v>65634</v>
      </c>
      <c r="AJ11" s="83">
        <f>IFERROR(__xludf.DUMMYFUNCTION("IMPORTRANGE(""https://docs.google.com/spreadsheets/d/1Pem-mgCz4CF6EUKNVxDQx16g9jie0F5YNDQ_cPnMHYs"",""1-12每月!$F11"")"),41976.0)</f>
        <v>41976</v>
      </c>
      <c r="AK11" s="83">
        <f>IFERROR(__xludf.DUMMYFUNCTION("IMPORTRANGE(""https://docs.google.com/spreadsheets/d/1ZoRtUl0m9T3TpY8H-9-ntNBO_zrYrgNKuAe_XfTeFnU"",""1-12每月!$F11"")"),104264.0)</f>
        <v>104264</v>
      </c>
      <c r="AL11" s="83">
        <f>IFERROR(__xludf.DUMMYFUNCTION("IMPORTRANGE(""https://docs.google.com/spreadsheets/d/1Y9Uv46r1nA3ixCGwTWZqhGQWDt4KVX4iXmhJgHL5CGQ"",""1-12每月!$F11"")"),100637.0)</f>
        <v>100637</v>
      </c>
      <c r="AM11" s="83">
        <f>IFERROR(__xludf.DUMMYFUNCTION("IMPORTRANGE(""https://docs.google.com/spreadsheets/d/1E3X732-CKfouAVQOwKyrePWwI1Bwg9NHD0VD42lyiu4/edit?gid=1513765949#gid=1513765949"",""1-12每月!$F11"")"),0.0)</f>
        <v>0</v>
      </c>
      <c r="AN11" s="107"/>
      <c r="AO11" s="107"/>
      <c r="AP11" s="107"/>
      <c r="AQ11" s="107"/>
      <c r="AR11" s="108"/>
    </row>
    <row r="12" ht="15.75" customHeight="1">
      <c r="A12" s="85">
        <v>8.0</v>
      </c>
      <c r="B12" s="83"/>
      <c r="C12" s="83"/>
      <c r="D12" s="83"/>
      <c r="E12" s="83"/>
      <c r="F12" s="83"/>
      <c r="G12" s="83"/>
      <c r="H12" s="83"/>
      <c r="I12" s="83"/>
      <c r="J12" s="83"/>
      <c r="K12" s="83"/>
      <c r="L12" s="83"/>
      <c r="M12" s="83">
        <f>IFERROR(__xludf.DUMMYFUNCTION("IMPORTRANGE(""https://docs.google.com/spreadsheets/d/1dffLfsI-BGVz-K0zdrsWfGaqrFfoLJAhq001merp6Rk/edit?usp=sharing"",""1-12每月!$D12"")"),61308.0)</f>
        <v>61308</v>
      </c>
      <c r="N12" s="83">
        <f>IFERROR(__xludf.DUMMYFUNCTION("IMPORTRANGE(""https://docs.google.com/spreadsheets/d/1SzxpZPUDnwxS8mSOLGEH5NbWU7ZW_VcRmIn7psOvuTs/edit#gid=1650312294?usp=sharing"",""1-12每月!$D12"")"),49412.0)</f>
        <v>49412</v>
      </c>
      <c r="O12" s="83">
        <f>IFERROR(__xludf.DUMMYFUNCTION("IMPORTRANGE(""https://docs.google.com/spreadsheets/d/1ta9i7cAkOPF0LapwmU_YEDA4IPQvKNuaYVMY8vIVPwI/edit#gid=1607741572?usp=sharing"",""1-12每月!$D12"")"),49719.0)</f>
        <v>49719</v>
      </c>
      <c r="P12" s="83">
        <f>IFERROR(__xludf.DUMMYFUNCTION("IMPORTRANGE(""https://docs.google.com/spreadsheets/d/1f4WWQfcNBonYqfzcaBhJlHzPwh34sx4U6naz-Aw2G4I/edit#gid=2097425894?usp=sharing"",""1-12每月!$F12"")"),65700.0)</f>
        <v>65700</v>
      </c>
      <c r="Q12" s="83">
        <f>IFERROR(__xludf.DUMMYFUNCTION("IMPORTRANGE(""https://docs.google.com/spreadsheets/d/1pCmmgCj7Y_SQPZLsiVd3yvND9oLyryVfBwNxC6OUwm8/edit#gid=170549058?usp=sharing"",""1-12每月!$F12"")"),48125.0)</f>
        <v>48125</v>
      </c>
      <c r="R12" s="83">
        <f>IFERROR(__xludf.DUMMYFUNCTION("IMPORTRANGE(""https://docs.google.com/spreadsheets/d/1hrRqxxacrLITR_JGMRVbhSRCIZIU8gAv0o_aOkHz68M/edit#gid=763155734?usp=sharing"",""1-12每月!$F12"")"),36177.0)</f>
        <v>36177</v>
      </c>
      <c r="S12" s="83">
        <f>IFERROR(__xludf.DUMMYFUNCTION("IMPORTRANGE(""https://docs.google.com/spreadsheets/d/1AKS3XWcgwNLFRbGU-lJ3UBHDQNdglvKwrv4_Bpp1IjU/edit#gid=73116376?usp=sharing"",""1-12每月!$E12"")"),43913.0)</f>
        <v>43913</v>
      </c>
      <c r="T12" s="83">
        <f>IFERROR(__xludf.DUMMYFUNCTION("IMPORTRANGE(""https://docs.google.com/spreadsheets/d/1wGGXGHkWT5JsjUDTy4FnHN_O9ae4MADbMykqIWVThNc/edit#gid=297806252?usp=sharing"",""1-12每月!$E12"")"),29789.0)</f>
        <v>29789</v>
      </c>
      <c r="U12" s="83">
        <f>IFERROR(__xludf.DUMMYFUNCTION("IMPORTRANGE(""https://docs.google.com/spreadsheets/d/1ShTgtQQDjMKpYx-TJ_lwdxnWSzJNUcNnzR3fJjoaZec/edit#gid=66107904?usp=sharing"",""1-12每月!$E12"")"),41817.0)</f>
        <v>41817</v>
      </c>
      <c r="V12" s="83">
        <f>IFERROR(__xludf.DUMMYFUNCTION("IMPORTRANGE(""https://docs.google.com/spreadsheets/d/1_eyuyKbXFCJd6fVFEKQwugwYCbRCmmWN_M7XR1dtOb8/edit#gid=951918895?usp=sharing"",""1-12每月!$E12"")"),21634.0)</f>
        <v>21634</v>
      </c>
      <c r="W12" s="83">
        <f>IFERROR(__xludf.DUMMYFUNCTION("IMPORTRANGE(""https://docs.google.com/spreadsheets/d/1yEpHI9_Y4w8sRmPP9C-mYK4NMfVuTJifGLMj4FMdqek/edit#gid=799087919?usp=sharing"",""1-12每月!$E12"")"),69031.0)</f>
        <v>69031</v>
      </c>
      <c r="X12" s="83">
        <f>IFERROR(__xludf.DUMMYFUNCTION("IMPORTRANGE(""https://docs.google.com/spreadsheets/d/1Vbyb9GlrY6jOwvoGyZFB96f7WXYjkT6gvTE37DPDXDI/edit#gid=9591526?usp=sharing"",""1-12每月!$E12"")"),53250.0)</f>
        <v>53250</v>
      </c>
      <c r="Y12" s="83">
        <f>IFERROR(__xludf.DUMMYFUNCTION("IMPORTRANGE(""https://docs.google.com/spreadsheets/d/1qeckoJwzWQAg8zQ80D-QJP4pnVYH6l2juaUyHtOu6y8/edit#gid=1905704096?usp=sharing"",""1-12每月!$E12"")"),54826.0)</f>
        <v>54826</v>
      </c>
      <c r="Z12" s="83">
        <f>IFERROR(__xludf.DUMMYFUNCTION("IMPORTRANGE(""https://docs.google.com/spreadsheets/d/1BcbIi7AD1VDpy_wMQ0YjCG-iuQy0_tkCVqr72a0Pwbg/edit#gid=1099513714?usp=sharing"",""1-12每月!$E12"")"),67471.0)</f>
        <v>67471</v>
      </c>
      <c r="AA12" s="83">
        <f>IFERROR(__xludf.DUMMYFUNCTION("IMPORTRANGE(""https://docs.google.com/spreadsheets/d/1cIFCQPaYiOmIt2O3vkEx5eto8sfRtx3JtAWJ1fv31HI/edit#gid=432689709?usp=sharing"",""1-12每月!$E12"")"),95734.0)</f>
        <v>95734</v>
      </c>
      <c r="AB12" s="83">
        <f>IFERROR(__xludf.DUMMYFUNCTION("IMPORTRANGE(""https://docs.google.com/spreadsheets/d/1C8ECYlbes2CJkHHGOAyOYVfrP7PdlGr8RMjK7KZd0_o/edit#gid=495469277?usp=sharing"",""1-12每月!$E12"")"),63024.0)</f>
        <v>63024</v>
      </c>
      <c r="AC12" s="83">
        <f>IFERROR(__xludf.DUMMYFUNCTION("IMPORTRANGE(""https://docs.google.com/spreadsheets/d/1ettcrhLPK6tkvHZxDTyU2bGIpGSi2ynG91ln0fqz9iE/edit#gid=1364213386?usp=sharing"",""1-12每月!$F12"")"),63128.0)</f>
        <v>63128</v>
      </c>
      <c r="AD12" s="83">
        <f>IFERROR(__xludf.DUMMYFUNCTION("IMPORTRANGE(""https://docs.google.com/spreadsheets/d/1xUhm-MtqzfUO8M5WEWVv9w2EFkv5_PHMOsAlA3CcCWU/edit#gid=1700470961?usp=sharing"",""1-12每月!$F12"")"),47231.0)</f>
        <v>47231</v>
      </c>
      <c r="AE12" s="83">
        <f>IFERROR(__xludf.DUMMYFUNCTION("IMPORTRANGE(""https://docs.google.com/spreadsheets/d/1DP8wl0QQLYSZ8R2aQ8wNmiAUXn7lVrqMsdTccpBmnQc/edit#gid=1145593933?usp=sharing"",""1-12每月!$F12"")"),60210.0)</f>
        <v>60210</v>
      </c>
      <c r="AF12" s="83">
        <f>IFERROR(__xludf.DUMMYFUNCTION("IMPORTRANGE(""https://docs.google.com/spreadsheets/d/17hbKAHrpKLEbG3r9s1Ay3fOGzvOBzSu3Bn_CD4JNLhY/edit#gid=756408948?usp=sharing"",""1-12每月!$F12"")"),52134.0)</f>
        <v>52134</v>
      </c>
      <c r="AG12" s="83">
        <f>IFERROR(__xludf.DUMMYFUNCTION("IMPORTRANGE(""https://docs.google.com/spreadsheets/d/1qeecSCKZ78ENQrsyUYpSNZqvo0-Y-uuGKFA1F06yLEM/edit#gid=874445072?usp=sharing"",""1-12每月!$F12"")"),99761.0)</f>
        <v>99761</v>
      </c>
      <c r="AH12" s="83">
        <f>IFERROR(__xludf.DUMMYFUNCTION("IMPORTRANGE(""https://docs.google.com/spreadsheets/d/1BSX0y1fIKw9-3VTr627UzGVjwKe74kwBkuFnvlaueNo/edit#gid=1113655470"",""1-12每月!$F12"")"),20490.0)</f>
        <v>20490</v>
      </c>
      <c r="AI12" s="83">
        <f>IFERROR(__xludf.DUMMYFUNCTION("IMPORTRANGE(""https://docs.google.com/spreadsheets/d/1bQzlrSGiVqBrfQ6FKnw67vhBELFgthonryGzmQabVFQ/edit#gid=1015697053?usp=sharing"",""1-12每月!$F12"")"),58366.0)</f>
        <v>58366</v>
      </c>
      <c r="AJ12" s="83">
        <f>IFERROR(__xludf.DUMMYFUNCTION("IMPORTRANGE(""https://docs.google.com/spreadsheets/d/1Pem-mgCz4CF6EUKNVxDQx16g9jie0F5YNDQ_cPnMHYs"",""1-12每月!$F12"")"),42021.0)</f>
        <v>42021</v>
      </c>
      <c r="AK12" s="83">
        <f>IFERROR(__xludf.DUMMYFUNCTION("IMPORTRANGE(""https://docs.google.com/spreadsheets/d/1ZoRtUl0m9T3TpY8H-9-ntNBO_zrYrgNKuAe_XfTeFnU"",""1-12每月!$F12"")"),116430.0)</f>
        <v>116430</v>
      </c>
      <c r="AL12" s="83">
        <f>IFERROR(__xludf.DUMMYFUNCTION("IMPORTRANGE(""https://docs.google.com/spreadsheets/d/1Y9Uv46r1nA3ixCGwTWZqhGQWDt4KVX4iXmhJgHL5CGQ"",""1-12每月!$F12"")"),130883.0)</f>
        <v>130883</v>
      </c>
      <c r="AM12" s="83">
        <f>IFERROR(__xludf.DUMMYFUNCTION("IMPORTRANGE(""https://docs.google.com/spreadsheets/d/1E3X732-CKfouAVQOwKyrePWwI1Bwg9NHD0VD42lyiu4/edit?gid=1513765949#gid=1513765949"",""1-12每月!$F12"")"),0.0)</f>
        <v>0</v>
      </c>
      <c r="AN12" s="107"/>
      <c r="AO12" s="107"/>
      <c r="AP12" s="107"/>
      <c r="AQ12" s="107"/>
      <c r="AR12" s="108"/>
    </row>
    <row r="13" ht="15.75" customHeight="1">
      <c r="A13" s="85">
        <v>9.0</v>
      </c>
      <c r="B13" s="83"/>
      <c r="C13" s="83"/>
      <c r="D13" s="83"/>
      <c r="E13" s="83"/>
      <c r="F13" s="83"/>
      <c r="G13" s="83"/>
      <c r="H13" s="83"/>
      <c r="I13" s="83"/>
      <c r="J13" s="83"/>
      <c r="K13" s="83"/>
      <c r="L13" s="83"/>
      <c r="M13" s="83">
        <f>IFERROR(__xludf.DUMMYFUNCTION("IMPORTRANGE(""https://docs.google.com/spreadsheets/d/1dffLfsI-BGVz-K0zdrsWfGaqrFfoLJAhq001merp6Rk/edit?usp=sharing"",""1-12每月!$D13"")"),51354.0)</f>
        <v>51354</v>
      </c>
      <c r="N13" s="83">
        <f>IFERROR(__xludf.DUMMYFUNCTION("IMPORTRANGE(""https://docs.google.com/spreadsheets/d/1SzxpZPUDnwxS8mSOLGEH5NbWU7ZW_VcRmIn7psOvuTs/edit#gid=1650312294?usp=sharing"",""1-12每月!$D13"")"),19019.0)</f>
        <v>19019</v>
      </c>
      <c r="O13" s="83">
        <f>IFERROR(__xludf.DUMMYFUNCTION("IMPORTRANGE(""https://docs.google.com/spreadsheets/d/1ta9i7cAkOPF0LapwmU_YEDA4IPQvKNuaYVMY8vIVPwI/edit#gid=1607741572?usp=sharing"",""1-12每月!$D13"")"),35499.0)</f>
        <v>35499</v>
      </c>
      <c r="P13" s="83">
        <f>IFERROR(__xludf.DUMMYFUNCTION("IMPORTRANGE(""https://docs.google.com/spreadsheets/d/1f4WWQfcNBonYqfzcaBhJlHzPwh34sx4U6naz-Aw2G4I/edit#gid=2097425894?usp=sharing"",""1-12每月!$F13"")"),44893.0)</f>
        <v>44893</v>
      </c>
      <c r="Q13" s="83">
        <f>IFERROR(__xludf.DUMMYFUNCTION("IMPORTRANGE(""https://docs.google.com/spreadsheets/d/1pCmmgCj7Y_SQPZLsiVd3yvND9oLyryVfBwNxC6OUwm8/edit#gid=170549058?usp=sharing"",""1-12每月!$F13"")"),32522.0)</f>
        <v>32522</v>
      </c>
      <c r="R13" s="83">
        <f>IFERROR(__xludf.DUMMYFUNCTION("IMPORTRANGE(""https://docs.google.com/spreadsheets/d/1hrRqxxacrLITR_JGMRVbhSRCIZIU8gAv0o_aOkHz68M/edit#gid=763155734?usp=sharing"",""1-12每月!$F13"")"),31537.0)</f>
        <v>31537</v>
      </c>
      <c r="S13" s="83">
        <f>IFERROR(__xludf.DUMMYFUNCTION("IMPORTRANGE(""https://docs.google.com/spreadsheets/d/1AKS3XWcgwNLFRbGU-lJ3UBHDQNdglvKwrv4_Bpp1IjU/edit#gid=73116376?usp=sharing"",""1-12每月!$E13"")"),34154.0)</f>
        <v>34154</v>
      </c>
      <c r="T13" s="83">
        <f>IFERROR(__xludf.DUMMYFUNCTION("IMPORTRANGE(""https://docs.google.com/spreadsheets/d/1wGGXGHkWT5JsjUDTy4FnHN_O9ae4MADbMykqIWVThNc/edit#gid=297806252?usp=sharing"",""1-12每月!$E13"")"),32656.0)</f>
        <v>32656</v>
      </c>
      <c r="U13" s="83">
        <f>IFERROR(__xludf.DUMMYFUNCTION("IMPORTRANGE(""https://docs.google.com/spreadsheets/d/1ShTgtQQDjMKpYx-TJ_lwdxnWSzJNUcNnzR3fJjoaZec/edit#gid=66107904?usp=sharing"",""1-12每月!$E13"")"),24848.0)</f>
        <v>24848</v>
      </c>
      <c r="V13" s="83">
        <f>IFERROR(__xludf.DUMMYFUNCTION("IMPORTRANGE(""https://docs.google.com/spreadsheets/d/1_eyuyKbXFCJd6fVFEKQwugwYCbRCmmWN_M7XR1dtOb8/edit#gid=951918895?usp=sharing"",""1-12每月!$E13"")"),25768.0)</f>
        <v>25768</v>
      </c>
      <c r="W13" s="83">
        <f>IFERROR(__xludf.DUMMYFUNCTION("IMPORTRANGE(""https://docs.google.com/spreadsheets/d/1yEpHI9_Y4w8sRmPP9C-mYK4NMfVuTJifGLMj4FMdqek/edit#gid=799087919?usp=sharing"",""1-12每月!$E13"")"),45684.0)</f>
        <v>45684</v>
      </c>
      <c r="X13" s="83">
        <f>IFERROR(__xludf.DUMMYFUNCTION("IMPORTRANGE(""https://docs.google.com/spreadsheets/d/1Vbyb9GlrY6jOwvoGyZFB96f7WXYjkT6gvTE37DPDXDI/edit#gid=9591526?usp=sharing"",""1-12每月!$E13"")"),50509.0)</f>
        <v>50509</v>
      </c>
      <c r="Y13" s="83">
        <f>IFERROR(__xludf.DUMMYFUNCTION("IMPORTRANGE(""https://docs.google.com/spreadsheets/d/1qeckoJwzWQAg8zQ80D-QJP4pnVYH6l2juaUyHtOu6y8/edit#gid=1905704096?usp=sharing"",""1-12每月!$E13"")"),50584.0)</f>
        <v>50584</v>
      </c>
      <c r="Z13" s="83">
        <f>IFERROR(__xludf.DUMMYFUNCTION("IMPORTRANGE(""https://docs.google.com/spreadsheets/d/1BcbIi7AD1VDpy_wMQ0YjCG-iuQy0_tkCVqr72a0Pwbg/edit#gid=1099513714?usp=sharing"",""1-12每月!$E13"")"),47920.0)</f>
        <v>47920</v>
      </c>
      <c r="AA13" s="83">
        <f>IFERROR(__xludf.DUMMYFUNCTION("IMPORTRANGE(""https://docs.google.com/spreadsheets/d/1cIFCQPaYiOmIt2O3vkEx5eto8sfRtx3JtAWJ1fv31HI/edit#gid=432689709?usp=sharing"",""1-12每月!$E13"")"),61545.0)</f>
        <v>61545</v>
      </c>
      <c r="AB13" s="83">
        <f>IFERROR(__xludf.DUMMYFUNCTION("IMPORTRANGE(""https://docs.google.com/spreadsheets/d/1C8ECYlbes2CJkHHGOAyOYVfrP7PdlGr8RMjK7KZd0_o/edit#gid=495469277?usp=sharing"",""1-12每月!$E13"")"),47802.0)</f>
        <v>47802</v>
      </c>
      <c r="AC13" s="83">
        <f>IFERROR(__xludf.DUMMYFUNCTION("IMPORTRANGE(""https://docs.google.com/spreadsheets/d/1ettcrhLPK6tkvHZxDTyU2bGIpGSi2ynG91ln0fqz9iE/edit#gid=1364213386?usp=sharing"",""1-12每月!$F13"")"),35380.0)</f>
        <v>35380</v>
      </c>
      <c r="AD13" s="83">
        <f>IFERROR(__xludf.DUMMYFUNCTION("IMPORTRANGE(""https://docs.google.com/spreadsheets/d/1xUhm-MtqzfUO8M5WEWVv9w2EFkv5_PHMOsAlA3CcCWU/edit#gid=1700470961?usp=sharing"",""1-12每月!$F13"")"),28945.0)</f>
        <v>28945</v>
      </c>
      <c r="AE13" s="83">
        <f>IFERROR(__xludf.DUMMYFUNCTION("IMPORTRANGE(""https://docs.google.com/spreadsheets/d/1DP8wl0QQLYSZ8R2aQ8wNmiAUXn7lVrqMsdTccpBmnQc/edit#gid=1145593933?usp=sharing"",""1-12每月!$F13"")"),32762.0)</f>
        <v>32762</v>
      </c>
      <c r="AF13" s="83">
        <f>IFERROR(__xludf.DUMMYFUNCTION("IMPORTRANGE(""https://docs.google.com/spreadsheets/d/17hbKAHrpKLEbG3r9s1Ay3fOGzvOBzSu3Bn_CD4JNLhY/edit#gid=756408948?usp=sharing"",""1-12每月!$F13"")"),40093.0)</f>
        <v>40093</v>
      </c>
      <c r="AG13" s="83">
        <f>IFERROR(__xludf.DUMMYFUNCTION("IMPORTRANGE(""https://docs.google.com/spreadsheets/d/1qeecSCKZ78ENQrsyUYpSNZqvo0-Y-uuGKFA1F06yLEM/edit#gid=874445072?usp=sharing"",""1-12每月!$F13"")"),58029.0)</f>
        <v>58029</v>
      </c>
      <c r="AH13" s="83">
        <f>IFERROR(__xludf.DUMMYFUNCTION("IMPORTRANGE(""https://docs.google.com/spreadsheets/d/1BSX0y1fIKw9-3VTr627UzGVjwKe74kwBkuFnvlaueNo/edit#gid=1113655470"",""1-12每月!$F13"")"),18922.0)</f>
        <v>18922</v>
      </c>
      <c r="AI13" s="83">
        <f>IFERROR(__xludf.DUMMYFUNCTION("IMPORTRANGE(""https://docs.google.com/spreadsheets/d/1bQzlrSGiVqBrfQ6FKnw67vhBELFgthonryGzmQabVFQ/edit#gid=1015697053?usp=sharing"",""1-12每月!$F13"")"),28138.0)</f>
        <v>28138</v>
      </c>
      <c r="AJ13" s="83">
        <f>IFERROR(__xludf.DUMMYFUNCTION("IMPORTRANGE(""https://docs.google.com/spreadsheets/d/1Pem-mgCz4CF6EUKNVxDQx16g9jie0F5YNDQ_cPnMHYs"",""1-12每月!$F13"")"),18953.0)</f>
        <v>18953</v>
      </c>
      <c r="AK13" s="83">
        <f>IFERROR(__xludf.DUMMYFUNCTION("IMPORTRANGE(""https://docs.google.com/spreadsheets/d/1ZoRtUl0m9T3TpY8H-9-ntNBO_zrYrgNKuAe_XfTeFnU"",""1-12每月!$F13"")"),87599.0)</f>
        <v>87599</v>
      </c>
      <c r="AL13" s="83">
        <f>IFERROR(__xludf.DUMMYFUNCTION("IMPORTRANGE(""https://docs.google.com/spreadsheets/d/1Y9Uv46r1nA3ixCGwTWZqhGQWDt4KVX4iXmhJgHL5CGQ"",""1-12每月!$F13"")"),87122.0)</f>
        <v>87122</v>
      </c>
      <c r="AM13" s="83">
        <f>IFERROR(__xludf.DUMMYFUNCTION("IMPORTRANGE(""https://docs.google.com/spreadsheets/d/1E3X732-CKfouAVQOwKyrePWwI1Bwg9NHD0VD42lyiu4/edit?gid=1513765949#gid=1513765949"",""1-12每月!$F13"")"),0.0)</f>
        <v>0</v>
      </c>
      <c r="AN13" s="107"/>
      <c r="AO13" s="107"/>
      <c r="AP13" s="107"/>
      <c r="AQ13" s="107"/>
      <c r="AR13" s="108"/>
    </row>
    <row r="14" ht="15.75" customHeight="1">
      <c r="A14" s="85">
        <v>10.0</v>
      </c>
      <c r="B14" s="83"/>
      <c r="C14" s="83"/>
      <c r="D14" s="83"/>
      <c r="E14" s="83"/>
      <c r="F14" s="83"/>
      <c r="G14" s="83"/>
      <c r="H14" s="83"/>
      <c r="I14" s="83"/>
      <c r="J14" s="83"/>
      <c r="K14" s="83"/>
      <c r="L14" s="83"/>
      <c r="M14" s="83">
        <f>IFERROR(__xludf.DUMMYFUNCTION("IMPORTRANGE(""https://docs.google.com/spreadsheets/d/1dffLfsI-BGVz-K0zdrsWfGaqrFfoLJAhq001merp6Rk/edit?usp=sharing"",""1-12每月!$D14"")"),52934.0)</f>
        <v>52934</v>
      </c>
      <c r="N14" s="83">
        <f>IFERROR(__xludf.DUMMYFUNCTION("IMPORTRANGE(""https://docs.google.com/spreadsheets/d/1SzxpZPUDnwxS8mSOLGEH5NbWU7ZW_VcRmIn7psOvuTs/edit#gid=1650312294?usp=sharing"",""1-12每月!$D14"")"),39166.0)</f>
        <v>39166</v>
      </c>
      <c r="O14" s="83">
        <f>IFERROR(__xludf.DUMMYFUNCTION("IMPORTRANGE(""https://docs.google.com/spreadsheets/d/1ta9i7cAkOPF0LapwmU_YEDA4IPQvKNuaYVMY8vIVPwI/edit#gid=1607741572?usp=sharing"",""1-12每月!$D14"")"),46036.0)</f>
        <v>46036</v>
      </c>
      <c r="P14" s="83">
        <f>IFERROR(__xludf.DUMMYFUNCTION("IMPORTRANGE(""https://docs.google.com/spreadsheets/d/1f4WWQfcNBonYqfzcaBhJlHzPwh34sx4U6naz-Aw2G4I/edit#gid=2097425894?usp=sharing"",""1-12每月!$F14"")"),55007.0)</f>
        <v>55007</v>
      </c>
      <c r="Q14" s="83">
        <f>IFERROR(__xludf.DUMMYFUNCTION("IMPORTRANGE(""https://docs.google.com/spreadsheets/d/1pCmmgCj7Y_SQPZLsiVd3yvND9oLyryVfBwNxC6OUwm8/edit#gid=170549058?usp=sharing"",""1-12每月!$F14"")"),38706.0)</f>
        <v>38706</v>
      </c>
      <c r="R14" s="83">
        <f>IFERROR(__xludf.DUMMYFUNCTION("IMPORTRANGE(""https://docs.google.com/spreadsheets/d/1hrRqxxacrLITR_JGMRVbhSRCIZIU8gAv0o_aOkHz68M/edit#gid=763155734?usp=sharing"",""1-12每月!$F14"")"),43169.0)</f>
        <v>43169</v>
      </c>
      <c r="S14" s="83">
        <f>IFERROR(__xludf.DUMMYFUNCTION("IMPORTRANGE(""https://docs.google.com/spreadsheets/d/1AKS3XWcgwNLFRbGU-lJ3UBHDQNdglvKwrv4_Bpp1IjU/edit#gid=73116376?usp=sharing"",""1-12每月!$E14"")"),48027.0)</f>
        <v>48027</v>
      </c>
      <c r="T14" s="83">
        <f>IFERROR(__xludf.DUMMYFUNCTION("IMPORTRANGE(""https://docs.google.com/spreadsheets/d/1wGGXGHkWT5JsjUDTy4FnHN_O9ae4MADbMykqIWVThNc/edit#gid=297806252?usp=sharing"",""1-12每月!$E14"")"),33517.0)</f>
        <v>33517</v>
      </c>
      <c r="U14" s="83">
        <f>IFERROR(__xludf.DUMMYFUNCTION("IMPORTRANGE(""https://docs.google.com/spreadsheets/d/1ShTgtQQDjMKpYx-TJ_lwdxnWSzJNUcNnzR3fJjoaZec/edit#gid=66107904?usp=sharing"",""1-12每月!$E14"")"),44058.0)</f>
        <v>44058</v>
      </c>
      <c r="V14" s="83">
        <f>IFERROR(__xludf.DUMMYFUNCTION("IMPORTRANGE(""https://docs.google.com/spreadsheets/d/1_eyuyKbXFCJd6fVFEKQwugwYCbRCmmWN_M7XR1dtOb8/edit#gid=951918895?usp=sharing"",""1-12每月!$E14"")"),29878.0)</f>
        <v>29878</v>
      </c>
      <c r="W14" s="83">
        <f>IFERROR(__xludf.DUMMYFUNCTION("IMPORTRANGE(""https://docs.google.com/spreadsheets/d/1yEpHI9_Y4w8sRmPP9C-mYK4NMfVuTJifGLMj4FMdqek/edit#gid=799087919?usp=sharing"",""1-12每月!$E14"")"),54472.0)</f>
        <v>54472</v>
      </c>
      <c r="X14" s="83">
        <f>IFERROR(__xludf.DUMMYFUNCTION("IMPORTRANGE(""https://docs.google.com/spreadsheets/d/1Vbyb9GlrY6jOwvoGyZFB96f7WXYjkT6gvTE37DPDXDI/edit#gid=9591526?usp=sharing"",""1-12每月!$E14"")"),64997.0)</f>
        <v>64997</v>
      </c>
      <c r="Y14" s="83">
        <f>IFERROR(__xludf.DUMMYFUNCTION("IMPORTRANGE(""https://docs.google.com/spreadsheets/d/1qeckoJwzWQAg8zQ80D-QJP4pnVYH6l2juaUyHtOu6y8/edit#gid=1905704096?usp=sharing"",""1-12每月!$E14"")"),64048.0)</f>
        <v>64048</v>
      </c>
      <c r="Z14" s="83">
        <f>IFERROR(__xludf.DUMMYFUNCTION("IMPORTRANGE(""https://docs.google.com/spreadsheets/d/1BcbIi7AD1VDpy_wMQ0YjCG-iuQy0_tkCVqr72a0Pwbg/edit#gid=1099513714?usp=sharing"",""1-12每月!$E14"")"),61439.0)</f>
        <v>61439</v>
      </c>
      <c r="AA14" s="83">
        <f>IFERROR(__xludf.DUMMYFUNCTION("IMPORTRANGE(""https://docs.google.com/spreadsheets/d/1cIFCQPaYiOmIt2O3vkEx5eto8sfRtx3JtAWJ1fv31HI/edit#gid=432689709?usp=sharing"",""1-12每月!$E14"")"),86227.0)</f>
        <v>86227</v>
      </c>
      <c r="AB14" s="83">
        <f>IFERROR(__xludf.DUMMYFUNCTION("IMPORTRANGE(""https://docs.google.com/spreadsheets/d/1C8ECYlbes2CJkHHGOAyOYVfrP7PdlGr8RMjK7KZd0_o/edit#gid=495469277?usp=sharing"",""1-12每月!$E14"")"),73030.0)</f>
        <v>73030</v>
      </c>
      <c r="AC14" s="83">
        <f>IFERROR(__xludf.DUMMYFUNCTION("IMPORTRANGE(""https://docs.google.com/spreadsheets/d/1ettcrhLPK6tkvHZxDTyU2bGIpGSi2ynG91ln0fqz9iE/edit#gid=1364213386?usp=sharing"",""1-12每月!$F14"")"),42765.0)</f>
        <v>42765</v>
      </c>
      <c r="AD14" s="83">
        <f>IFERROR(__xludf.DUMMYFUNCTION("IMPORTRANGE(""https://docs.google.com/spreadsheets/d/1xUhm-MtqzfUO8M5WEWVv9w2EFkv5_PHMOsAlA3CcCWU/edit#gid=1700470961?usp=sharing"",""1-12每月!$F14"")"),54248.0)</f>
        <v>54248</v>
      </c>
      <c r="AE14" s="83">
        <f>IFERROR(__xludf.DUMMYFUNCTION("IMPORTRANGE(""https://docs.google.com/spreadsheets/d/1DP8wl0QQLYSZ8R2aQ8wNmiAUXn7lVrqMsdTccpBmnQc/edit#gid=1145593933?usp=sharing"",""1-12每月!$F14"")"),39387.0)</f>
        <v>39387</v>
      </c>
      <c r="AF14" s="83">
        <f>IFERROR(__xludf.DUMMYFUNCTION("IMPORTRANGE(""https://docs.google.com/spreadsheets/d/17hbKAHrpKLEbG3r9s1Ay3fOGzvOBzSu3Bn_CD4JNLhY/edit#gid=756408948?usp=sharing"",""1-12每月!$F14"")"),56200.0)</f>
        <v>56200</v>
      </c>
      <c r="AG14" s="83">
        <f>IFERROR(__xludf.DUMMYFUNCTION("IMPORTRANGE(""https://docs.google.com/spreadsheets/d/1qeecSCKZ78ENQrsyUYpSNZqvo0-Y-uuGKFA1F06yLEM/edit#gid=874445072?usp=sharing"",""1-12每月!$F14"")"),74002.0)</f>
        <v>74002</v>
      </c>
      <c r="AH14" s="83">
        <f>IFERROR(__xludf.DUMMYFUNCTION("IMPORTRANGE(""https://docs.google.com/spreadsheets/d/1BSX0y1fIKw9-3VTr627UzGVjwKe74kwBkuFnvlaueNo/edit#gid=1113655470"",""1-12每月!$F14"")"),29348.0)</f>
        <v>29348</v>
      </c>
      <c r="AI14" s="83">
        <f>IFERROR(__xludf.DUMMYFUNCTION("IMPORTRANGE(""https://docs.google.com/spreadsheets/d/1bQzlrSGiVqBrfQ6FKnw67vhBELFgthonryGzmQabVFQ/edit#gid=1015697053?usp=sharing"",""1-12每月!$F14"")"),21705.0)</f>
        <v>21705</v>
      </c>
      <c r="AJ14" s="83">
        <f>IFERROR(__xludf.DUMMYFUNCTION("IMPORTRANGE(""https://docs.google.com/spreadsheets/d/1Pem-mgCz4CF6EUKNVxDQx16g9jie0F5YNDQ_cPnMHYs"",""1-12每月!$F14"")"),34986.0)</f>
        <v>34986</v>
      </c>
      <c r="AK14" s="83">
        <f>IFERROR(__xludf.DUMMYFUNCTION("IMPORTRANGE(""https://docs.google.com/spreadsheets/d/1ZoRtUl0m9T3TpY8H-9-ntNBO_zrYrgNKuAe_XfTeFnU"",""1-12每月!$F14"")"),83133.0)</f>
        <v>83133</v>
      </c>
      <c r="AL14" s="83">
        <f>IFERROR(__xludf.DUMMYFUNCTION("IMPORTRANGE(""https://docs.google.com/spreadsheets/d/1Y9Uv46r1nA3ixCGwTWZqhGQWDt4KVX4iXmhJgHL5CGQ"",""1-12每月!$F14"")"),115298.0)</f>
        <v>115298</v>
      </c>
      <c r="AM14" s="83">
        <f>IFERROR(__xludf.DUMMYFUNCTION("IMPORTRANGE(""https://docs.google.com/spreadsheets/d/1E3X732-CKfouAVQOwKyrePWwI1Bwg9NHD0VD42lyiu4/edit?gid=1513765949#gid=1513765949"",""1-12每月!$F14"")"),0.0)</f>
        <v>0</v>
      </c>
      <c r="AN14" s="107"/>
      <c r="AO14" s="107"/>
      <c r="AP14" s="107"/>
      <c r="AQ14" s="107"/>
      <c r="AR14" s="108"/>
    </row>
    <row r="15" ht="15.75" customHeight="1">
      <c r="A15" s="85">
        <v>11.0</v>
      </c>
      <c r="B15" s="83"/>
      <c r="C15" s="83"/>
      <c r="D15" s="83"/>
      <c r="E15" s="83"/>
      <c r="F15" s="83"/>
      <c r="G15" s="83"/>
      <c r="H15" s="83"/>
      <c r="I15" s="83"/>
      <c r="J15" s="83"/>
      <c r="K15" s="83"/>
      <c r="L15" s="83"/>
      <c r="M15" s="83">
        <f>IFERROR(__xludf.DUMMYFUNCTION("IMPORTRANGE(""https://docs.google.com/spreadsheets/d/1dffLfsI-BGVz-K0zdrsWfGaqrFfoLJAhq001merp6Rk/edit?usp=sharing"",""1-12每月!$D15"")"),43668.0)</f>
        <v>43668</v>
      </c>
      <c r="N15" s="83">
        <f>IFERROR(__xludf.DUMMYFUNCTION("IMPORTRANGE(""https://docs.google.com/spreadsheets/d/1SzxpZPUDnwxS8mSOLGEH5NbWU7ZW_VcRmIn7psOvuTs/edit#gid=1650312294?usp=sharing"",""1-12每月!$D15"")"),39171.0)</f>
        <v>39171</v>
      </c>
      <c r="O15" s="83">
        <f>IFERROR(__xludf.DUMMYFUNCTION("IMPORTRANGE(""https://docs.google.com/spreadsheets/d/1ta9i7cAkOPF0LapwmU_YEDA4IPQvKNuaYVMY8vIVPwI/edit#gid=1607741572?usp=sharing"",""1-12每月!$D15"")"),46313.0)</f>
        <v>46313</v>
      </c>
      <c r="P15" s="83">
        <f>IFERROR(__xludf.DUMMYFUNCTION("IMPORTRANGE(""https://docs.google.com/spreadsheets/d/1f4WWQfcNBonYqfzcaBhJlHzPwh34sx4U6naz-Aw2G4I/edit#gid=2097425894?usp=sharing"",""1-12每月!$F15"")"),47079.0)</f>
        <v>47079</v>
      </c>
      <c r="Q15" s="83">
        <f>IFERROR(__xludf.DUMMYFUNCTION("IMPORTRANGE(""https://docs.google.com/spreadsheets/d/1pCmmgCj7Y_SQPZLsiVd3yvND9oLyryVfBwNxC6OUwm8/edit#gid=170549058?usp=sharing"",""1-12每月!$F15"")"),39278.0)</f>
        <v>39278</v>
      </c>
      <c r="R15" s="83">
        <f>IFERROR(__xludf.DUMMYFUNCTION("IMPORTRANGE(""https://docs.google.com/spreadsheets/d/1hrRqxxacrLITR_JGMRVbhSRCIZIU8gAv0o_aOkHz68M/edit#gid=763155734?usp=sharing"",""1-12每月!$F15"")"),40903.0)</f>
        <v>40903</v>
      </c>
      <c r="S15" s="83">
        <f>IFERROR(__xludf.DUMMYFUNCTION("IMPORTRANGE(""https://docs.google.com/spreadsheets/d/1AKS3XWcgwNLFRbGU-lJ3UBHDQNdglvKwrv4_Bpp1IjU/edit#gid=73116376?usp=sharing"",""1-12每月!$E15"")"),40452.0)</f>
        <v>40452</v>
      </c>
      <c r="T15" s="83">
        <f>IFERROR(__xludf.DUMMYFUNCTION("IMPORTRANGE(""https://docs.google.com/spreadsheets/d/1wGGXGHkWT5JsjUDTy4FnHN_O9ae4MADbMykqIWVThNc/edit#gid=297806252?usp=sharing"",""1-12每月!$E15"")"),33808.0)</f>
        <v>33808</v>
      </c>
      <c r="U15" s="83">
        <f>IFERROR(__xludf.DUMMYFUNCTION("IMPORTRANGE(""https://docs.google.com/spreadsheets/d/1ShTgtQQDjMKpYx-TJ_lwdxnWSzJNUcNnzR3fJjoaZec/edit#gid=66107904?usp=sharing"",""1-12每月!$E15"")"),41094.0)</f>
        <v>41094</v>
      </c>
      <c r="V15" s="83">
        <f>IFERROR(__xludf.DUMMYFUNCTION("IMPORTRANGE(""https://docs.google.com/spreadsheets/d/1_eyuyKbXFCJd6fVFEKQwugwYCbRCmmWN_M7XR1dtOb8/edit#gid=951918895?usp=sharing"",""1-12每月!$E15"")"),49517.0)</f>
        <v>49517</v>
      </c>
      <c r="W15" s="83">
        <f>IFERROR(__xludf.DUMMYFUNCTION("IMPORTRANGE(""https://docs.google.com/spreadsheets/d/1yEpHI9_Y4w8sRmPP9C-mYK4NMfVuTJifGLMj4FMdqek/edit#gid=799087919?usp=sharing"",""1-12每月!$E15"")"),57608.0)</f>
        <v>57608</v>
      </c>
      <c r="X15" s="83">
        <f>IFERROR(__xludf.DUMMYFUNCTION("IMPORTRANGE(""https://docs.google.com/spreadsheets/d/1Vbyb9GlrY6jOwvoGyZFB96f7WXYjkT6gvTE37DPDXDI/edit#gid=9591526?usp=sharing"",""1-12每月!$E15"")"),64204.0)</f>
        <v>64204</v>
      </c>
      <c r="Y15" s="83">
        <f>IFERROR(__xludf.DUMMYFUNCTION("IMPORTRANGE(""https://docs.google.com/spreadsheets/d/1qeckoJwzWQAg8zQ80D-QJP4pnVYH6l2juaUyHtOu6y8/edit#gid=1905704096?usp=sharing"",""1-12每月!$E15"")"),63644.0)</f>
        <v>63644</v>
      </c>
      <c r="Z15" s="83">
        <f>IFERROR(__xludf.DUMMYFUNCTION("IMPORTRANGE(""https://docs.google.com/spreadsheets/d/1BcbIi7AD1VDpy_wMQ0YjCG-iuQy0_tkCVqr72a0Pwbg/edit#gid=1099513714?usp=sharing"",""1-12每月!$E15"")"),60348.0)</f>
        <v>60348</v>
      </c>
      <c r="AA15" s="83">
        <f>IFERROR(__xludf.DUMMYFUNCTION("IMPORTRANGE(""https://docs.google.com/spreadsheets/d/1cIFCQPaYiOmIt2O3vkEx5eto8sfRtx3JtAWJ1fv31HI/edit#gid=432689709?usp=sharing"",""1-12每月!$E15"")"),74270.0)</f>
        <v>74270</v>
      </c>
      <c r="AB15" s="83">
        <f>IFERROR(__xludf.DUMMYFUNCTION("IMPORTRANGE(""https://docs.google.com/spreadsheets/d/1C8ECYlbes2CJkHHGOAyOYVfrP7PdlGr8RMjK7KZd0_o/edit#gid=495469277?usp=sharing"",""1-12每月!$E15"")"),63337.0)</f>
        <v>63337</v>
      </c>
      <c r="AC15" s="83">
        <f>IFERROR(__xludf.DUMMYFUNCTION("IMPORTRANGE(""https://docs.google.com/spreadsheets/d/1ettcrhLPK6tkvHZxDTyU2bGIpGSi2ynG91ln0fqz9iE/edit#gid=1364213386?usp=sharing"",""1-12每月!$F15"")"),43689.0)</f>
        <v>43689</v>
      </c>
      <c r="AD15" s="83">
        <f>IFERROR(__xludf.DUMMYFUNCTION("IMPORTRANGE(""https://docs.google.com/spreadsheets/d/1xUhm-MtqzfUO8M5WEWVv9w2EFkv5_PHMOsAlA3CcCWU/edit#gid=1700470961?usp=sharing"",""1-12每月!$F15"")"),45968.0)</f>
        <v>45968</v>
      </c>
      <c r="AE15" s="83">
        <f>IFERROR(__xludf.DUMMYFUNCTION("IMPORTRANGE(""https://docs.google.com/spreadsheets/d/1DP8wl0QQLYSZ8R2aQ8wNmiAUXn7lVrqMsdTccpBmnQc/edit#gid=1145593933?usp=sharing"",""1-12每月!$F15"")"),36509.0)</f>
        <v>36509</v>
      </c>
      <c r="AF15" s="83">
        <f>IFERROR(__xludf.DUMMYFUNCTION("IMPORTRANGE(""https://docs.google.com/spreadsheets/d/17hbKAHrpKLEbG3r9s1Ay3fOGzvOBzSu3Bn_CD4JNLhY/edit#gid=756408948?usp=sharing"",""1-12每月!$F15"")"),45215.869999999995)</f>
        <v>45215.87</v>
      </c>
      <c r="AG15" s="83">
        <f>IFERROR(__xludf.DUMMYFUNCTION("IMPORTRANGE(""https://docs.google.com/spreadsheets/d/1qeecSCKZ78ENQrsyUYpSNZqvo0-Y-uuGKFA1F06yLEM/edit#gid=874445072?usp=sharing"",""1-12每月!$F15"")"),45560.0)</f>
        <v>45560</v>
      </c>
      <c r="AH15" s="83">
        <f>IFERROR(__xludf.DUMMYFUNCTION("IMPORTRANGE(""https://docs.google.com/spreadsheets/d/1BSX0y1fIKw9-3VTr627UzGVjwKe74kwBkuFnvlaueNo/edit#gid=1113655470"",""1-12每月!$F15"")"),32785.0)</f>
        <v>32785</v>
      </c>
      <c r="AI15" s="83">
        <f>IFERROR(__xludf.DUMMYFUNCTION("IMPORTRANGE(""https://docs.google.com/spreadsheets/d/1bQzlrSGiVqBrfQ6FKnw67vhBELFgthonryGzmQabVFQ/edit#gid=1015697053?usp=sharing"",""1-12每月!$F15"")"),20105.0)</f>
        <v>20105</v>
      </c>
      <c r="AJ15" s="83">
        <f>IFERROR(__xludf.DUMMYFUNCTION("IMPORTRANGE(""https://docs.google.com/spreadsheets/d/1Pem-mgCz4CF6EUKNVxDQx16g9jie0F5YNDQ_cPnMHYs"",""1-12每月!$F15"")"),32781.0)</f>
        <v>32781</v>
      </c>
      <c r="AK15" s="83">
        <f>IFERROR(__xludf.DUMMYFUNCTION("IMPORTRANGE(""https://docs.google.com/spreadsheets/d/1ZoRtUl0m9T3TpY8H-9-ntNBO_zrYrgNKuAe_XfTeFnU"",""1-12每月!$F15"")"),93207.0)</f>
        <v>93207</v>
      </c>
      <c r="AL15" s="83">
        <f>IFERROR(__xludf.DUMMYFUNCTION("IMPORTRANGE(""https://docs.google.com/spreadsheets/d/1Y9Uv46r1nA3ixCGwTWZqhGQWDt4KVX4iXmhJgHL5CGQ"",""1-12每月!$F15"")"),89946.0)</f>
        <v>89946</v>
      </c>
      <c r="AM15" s="83">
        <f>IFERROR(__xludf.DUMMYFUNCTION("IMPORTRANGE(""https://docs.google.com/spreadsheets/d/1E3X732-CKfouAVQOwKyrePWwI1Bwg9NHD0VD42lyiu4/edit?gid=1513765949#gid=1513765949"",""1-12每月!$F15"")"),0.0)</f>
        <v>0</v>
      </c>
      <c r="AN15" s="107"/>
      <c r="AO15" s="107"/>
      <c r="AP15" s="107"/>
      <c r="AQ15" s="107"/>
      <c r="AR15" s="108"/>
    </row>
    <row r="16" ht="15.75" customHeight="1">
      <c r="A16" s="85">
        <v>12.0</v>
      </c>
      <c r="B16" s="83"/>
      <c r="C16" s="83"/>
      <c r="D16" s="83"/>
      <c r="E16" s="83"/>
      <c r="F16" s="83"/>
      <c r="G16" s="83"/>
      <c r="H16" s="83"/>
      <c r="I16" s="83"/>
      <c r="J16" s="83"/>
      <c r="K16" s="83"/>
      <c r="L16" s="83"/>
      <c r="M16" s="83">
        <f>IFERROR(__xludf.DUMMYFUNCTION("IMPORTRANGE(""https://docs.google.com/spreadsheets/d/1dffLfsI-BGVz-K0zdrsWfGaqrFfoLJAhq001merp6Rk/edit?usp=sharing"",""1-12每月!$D16"")"),58852.0)</f>
        <v>58852</v>
      </c>
      <c r="N16" s="83">
        <f>IFERROR(__xludf.DUMMYFUNCTION("IMPORTRANGE(""https://docs.google.com/spreadsheets/d/1SzxpZPUDnwxS8mSOLGEH5NbWU7ZW_VcRmIn7psOvuTs/edit#gid=1650312294?usp=sharing"",""1-12每月!$D16"")"),38602.0)</f>
        <v>38602</v>
      </c>
      <c r="O16" s="83">
        <f>IFERROR(__xludf.DUMMYFUNCTION("IMPORTRANGE(""https://docs.google.com/spreadsheets/d/1ta9i7cAkOPF0LapwmU_YEDA4IPQvKNuaYVMY8vIVPwI/edit#gid=1607741572?usp=sharing"",""1-12每月!$D16"")"),42852.0)</f>
        <v>42852</v>
      </c>
      <c r="P16" s="83">
        <f>IFERROR(__xludf.DUMMYFUNCTION("IMPORTRANGE(""https://docs.google.com/spreadsheets/d/1f4WWQfcNBonYqfzcaBhJlHzPwh34sx4U6naz-Aw2G4I/edit#gid=2097425894?usp=sharing"",""1-12每月!$F16"")"),37111.0)</f>
        <v>37111</v>
      </c>
      <c r="Q16" s="83">
        <f>IFERROR(__xludf.DUMMYFUNCTION("IMPORTRANGE(""https://docs.google.com/spreadsheets/d/1pCmmgCj7Y_SQPZLsiVd3yvND9oLyryVfBwNxC6OUwm8/edit#gid=170549058?usp=sharing"",""1-12每月!$F16"")"),30200.0)</f>
        <v>30200</v>
      </c>
      <c r="R16" s="83">
        <f>IFERROR(__xludf.DUMMYFUNCTION("IMPORTRANGE(""https://docs.google.com/spreadsheets/d/1hrRqxxacrLITR_JGMRVbhSRCIZIU8gAv0o_aOkHz68M/edit#gid=763155734?usp=sharing"",""1-12每月!$F16"")"),38376.0)</f>
        <v>38376</v>
      </c>
      <c r="S16" s="83">
        <f>IFERROR(__xludf.DUMMYFUNCTION("IMPORTRANGE(""https://docs.google.com/spreadsheets/d/1AKS3XWcgwNLFRbGU-lJ3UBHDQNdglvKwrv4_Bpp1IjU/edit#gid=73116376?usp=sharing"",""1-12每月!$E16"")"),38828.0)</f>
        <v>38828</v>
      </c>
      <c r="T16" s="83">
        <f>IFERROR(__xludf.DUMMYFUNCTION("IMPORTRANGE(""https://docs.google.com/spreadsheets/d/1wGGXGHkWT5JsjUDTy4FnHN_O9ae4MADbMykqIWVThNc/edit#gid=297806252?usp=sharing"",""1-12每月!$E16"")"),38935.0)</f>
        <v>38935</v>
      </c>
      <c r="U16" s="83">
        <f>IFERROR(__xludf.DUMMYFUNCTION("IMPORTRANGE(""https://docs.google.com/spreadsheets/d/1ShTgtQQDjMKpYx-TJ_lwdxnWSzJNUcNnzR3fJjoaZec/edit#gid=66107904?usp=sharing"",""1-12每月!$E16"")"),36645.0)</f>
        <v>36645</v>
      </c>
      <c r="V16" s="83">
        <f>IFERROR(__xludf.DUMMYFUNCTION("IMPORTRANGE(""https://docs.google.com/spreadsheets/d/1_eyuyKbXFCJd6fVFEKQwugwYCbRCmmWN_M7XR1dtOb8/edit#gid=951918895?usp=sharing"",""1-12每月!$E16"")"),48536.0)</f>
        <v>48536</v>
      </c>
      <c r="W16" s="83">
        <f>IFERROR(__xludf.DUMMYFUNCTION("IMPORTRANGE(""https://docs.google.com/spreadsheets/d/1yEpHI9_Y4w8sRmPP9C-mYK4NMfVuTJifGLMj4FMdqek/edit#gid=799087919?usp=sharing"",""1-12每月!$E16"")"),51608.0)</f>
        <v>51608</v>
      </c>
      <c r="X16" s="83">
        <f>IFERROR(__xludf.DUMMYFUNCTION("IMPORTRANGE(""https://docs.google.com/spreadsheets/d/1Vbyb9GlrY6jOwvoGyZFB96f7WXYjkT6gvTE37DPDXDI/edit#gid=9591526?usp=sharing"",""1-12每月!$E16"")"),60919.0)</f>
        <v>60919</v>
      </c>
      <c r="Y16" s="83">
        <f>IFERROR(__xludf.DUMMYFUNCTION("IMPORTRANGE(""https://docs.google.com/spreadsheets/d/1qeckoJwzWQAg8zQ80D-QJP4pnVYH6l2juaUyHtOu6y8/edit#gid=1905704096?usp=sharing"",""1-12每月!$E16"")"),52145.0)</f>
        <v>52145</v>
      </c>
      <c r="Z16" s="83">
        <f>IFERROR(__xludf.DUMMYFUNCTION("IMPORTRANGE(""https://docs.google.com/spreadsheets/d/1BcbIi7AD1VDpy_wMQ0YjCG-iuQy0_tkCVqr72a0Pwbg/edit#gid=1099513714?usp=sharing"",""1-12每月!$E16"")"),54026.0)</f>
        <v>54026</v>
      </c>
      <c r="AA16" s="83">
        <f>IFERROR(__xludf.DUMMYFUNCTION("IMPORTRANGE(""https://docs.google.com/spreadsheets/d/1cIFCQPaYiOmIt2O3vkEx5eto8sfRtx3JtAWJ1fv31HI/edit#gid=432689709?usp=sharing"",""1-12每月!$E16"")"),70111.0)</f>
        <v>70111</v>
      </c>
      <c r="AB16" s="83">
        <f>IFERROR(__xludf.DUMMYFUNCTION("IMPORTRANGE(""https://docs.google.com/spreadsheets/d/1C8ECYlbes2CJkHHGOAyOYVfrP7PdlGr8RMjK7KZd0_o/edit#gid=495469277?usp=sharing"",""1-12每月!$E16"")"),42234.0)</f>
        <v>42234</v>
      </c>
      <c r="AC16" s="83">
        <f>IFERROR(__xludf.DUMMYFUNCTION("IMPORTRANGE(""https://docs.google.com/spreadsheets/d/1ettcrhLPK6tkvHZxDTyU2bGIpGSi2ynG91ln0fqz9iE/edit#gid=1364213386?usp=sharing"",""1-12每月!$F16"")"),47860.0)</f>
        <v>47860</v>
      </c>
      <c r="AD16" s="83">
        <f>IFERROR(__xludf.DUMMYFUNCTION("IMPORTRANGE(""https://docs.google.com/spreadsheets/d/1xUhm-MtqzfUO8M5WEWVv9w2EFkv5_PHMOsAlA3CcCWU/edit#gid=1700470961?usp=sharing"",""1-12每月!$F16"")"),49758.0)</f>
        <v>49758</v>
      </c>
      <c r="AE16" s="83">
        <f>IFERROR(__xludf.DUMMYFUNCTION("IMPORTRANGE(""https://docs.google.com/spreadsheets/d/1DP8wl0QQLYSZ8R2aQ8wNmiAUXn7lVrqMsdTccpBmnQc/edit#gid=1145593933?usp=sharing"",""1-12每月!$F16"")"),56511.0)</f>
        <v>56511</v>
      </c>
      <c r="AF16" s="83">
        <f>IFERROR(__xludf.DUMMYFUNCTION("IMPORTRANGE(""https://docs.google.com/spreadsheets/d/17hbKAHrpKLEbG3r9s1Ay3fOGzvOBzSu3Bn_CD4JNLhY/edit#gid=756408948?usp=sharing"",""1-12每月!$F16"")"),40454.0)</f>
        <v>40454</v>
      </c>
      <c r="AG16" s="83">
        <f>IFERROR(__xludf.DUMMYFUNCTION("IMPORTRANGE(""https://docs.google.com/spreadsheets/d/1qeecSCKZ78ENQrsyUYpSNZqvo0-Y-uuGKFA1F06yLEM/edit#gid=874445072?usp=sharing"",""1-12每月!$F16"")"),33488.0)</f>
        <v>33488</v>
      </c>
      <c r="AH16" s="83">
        <f>IFERROR(__xludf.DUMMYFUNCTION("IMPORTRANGE(""https://docs.google.com/spreadsheets/d/1BSX0y1fIKw9-3VTr627UzGVjwKe74kwBkuFnvlaueNo/edit#gid=1113655470"",""1-12每月!$F16"")"),32054.0)</f>
        <v>32054</v>
      </c>
      <c r="AI16" s="83">
        <f>IFERROR(__xludf.DUMMYFUNCTION("IMPORTRANGE(""https://docs.google.com/spreadsheets/d/1bQzlrSGiVqBrfQ6FKnw67vhBELFgthonryGzmQabVFQ/edit#gid=1015697053?usp=sharing"",""1-12每月!$F16"")"),22798.0)</f>
        <v>22798</v>
      </c>
      <c r="AJ16" s="83">
        <f>IFERROR(__xludf.DUMMYFUNCTION("IMPORTRANGE(""https://docs.google.com/spreadsheets/d/1Pem-mgCz4CF6EUKNVxDQx16g9jie0F5YNDQ_cPnMHYs"",""1-12每月!$F16"")"),27492.0)</f>
        <v>27492</v>
      </c>
      <c r="AK16" s="83">
        <f>IFERROR(__xludf.DUMMYFUNCTION("IMPORTRANGE(""https://docs.google.com/spreadsheets/d/1ZoRtUl0m9T3TpY8H-9-ntNBO_zrYrgNKuAe_XfTeFnU"",""1-12每月!$F16"")"),91114.0)</f>
        <v>91114</v>
      </c>
      <c r="AL16" s="83">
        <f>IFERROR(__xludf.DUMMYFUNCTION("IMPORTRANGE(""https://docs.google.com/spreadsheets/d/1Y9Uv46r1nA3ixCGwTWZqhGQWDt4KVX4iXmhJgHL5CGQ"",""1-12每月!$F16"")"),93653.0)</f>
        <v>93653</v>
      </c>
      <c r="AM16" s="83">
        <f>IFERROR(__xludf.DUMMYFUNCTION("IMPORTRANGE(""https://docs.google.com/spreadsheets/d/1E3X732-CKfouAVQOwKyrePWwI1Bwg9NHD0VD42lyiu4/edit?gid=1513765949#gid=1513765949"",""1-12每月!$F16"")"),0.0)</f>
        <v>0</v>
      </c>
      <c r="AN16" s="107"/>
      <c r="AO16" s="107"/>
      <c r="AP16" s="107"/>
      <c r="AQ16" s="107"/>
      <c r="AR16" s="108"/>
    </row>
    <row r="17" ht="15.75" customHeight="1">
      <c r="A17" s="86" t="s">
        <v>45</v>
      </c>
      <c r="B17" s="87"/>
      <c r="C17" s="87"/>
      <c r="D17" s="87"/>
      <c r="E17" s="87"/>
      <c r="F17" s="87"/>
      <c r="G17" s="87"/>
      <c r="H17" s="87"/>
      <c r="I17" s="87"/>
      <c r="J17" s="87"/>
      <c r="K17" s="87"/>
      <c r="L17" s="87"/>
      <c r="M17" s="87">
        <f t="shared" ref="M17:AR17" si="1">SUM(M5:M16)</f>
        <v>818374</v>
      </c>
      <c r="N17" s="87">
        <f t="shared" si="1"/>
        <v>561243</v>
      </c>
      <c r="O17" s="87">
        <f t="shared" si="1"/>
        <v>584706</v>
      </c>
      <c r="P17" s="87">
        <f t="shared" si="1"/>
        <v>569123</v>
      </c>
      <c r="Q17" s="87">
        <f t="shared" si="1"/>
        <v>489188</v>
      </c>
      <c r="R17" s="87">
        <f t="shared" si="1"/>
        <v>475927</v>
      </c>
      <c r="S17" s="87">
        <f t="shared" si="1"/>
        <v>513460</v>
      </c>
      <c r="T17" s="87">
        <f t="shared" si="1"/>
        <v>442474</v>
      </c>
      <c r="U17" s="87">
        <f t="shared" si="1"/>
        <v>445012</v>
      </c>
      <c r="V17" s="87">
        <f t="shared" si="1"/>
        <v>602393</v>
      </c>
      <c r="W17" s="87">
        <f t="shared" si="1"/>
        <v>755416</v>
      </c>
      <c r="X17" s="87">
        <f t="shared" si="1"/>
        <v>670437</v>
      </c>
      <c r="Y17" s="87">
        <f t="shared" si="1"/>
        <v>749335</v>
      </c>
      <c r="Z17" s="87">
        <f t="shared" si="1"/>
        <v>715017</v>
      </c>
      <c r="AA17" s="87">
        <f t="shared" si="1"/>
        <v>913261</v>
      </c>
      <c r="AB17" s="87">
        <f t="shared" si="1"/>
        <v>760314</v>
      </c>
      <c r="AC17" s="87">
        <f t="shared" si="1"/>
        <v>681357</v>
      </c>
      <c r="AD17" s="87">
        <f t="shared" si="1"/>
        <v>572564</v>
      </c>
      <c r="AE17" s="87">
        <f t="shared" si="1"/>
        <v>519119.59</v>
      </c>
      <c r="AF17" s="87">
        <f t="shared" si="1"/>
        <v>572019.66</v>
      </c>
      <c r="AG17" s="87">
        <f t="shared" si="1"/>
        <v>612926</v>
      </c>
      <c r="AH17" s="87">
        <f t="shared" si="1"/>
        <v>304078</v>
      </c>
      <c r="AI17" s="87">
        <f t="shared" si="1"/>
        <v>399279</v>
      </c>
      <c r="AJ17" s="87">
        <f t="shared" si="1"/>
        <v>384525</v>
      </c>
      <c r="AK17" s="87">
        <f t="shared" si="1"/>
        <v>1148229</v>
      </c>
      <c r="AL17" s="87">
        <f t="shared" si="1"/>
        <v>1238905</v>
      </c>
      <c r="AM17" s="87">
        <f t="shared" si="1"/>
        <v>411337</v>
      </c>
      <c r="AN17" s="87">
        <f t="shared" si="1"/>
        <v>0</v>
      </c>
      <c r="AO17" s="87">
        <f t="shared" si="1"/>
        <v>0</v>
      </c>
      <c r="AP17" s="87">
        <f t="shared" si="1"/>
        <v>0</v>
      </c>
      <c r="AQ17" s="87">
        <f t="shared" si="1"/>
        <v>0</v>
      </c>
      <c r="AR17" s="88">
        <f t="shared" si="1"/>
        <v>0</v>
      </c>
    </row>
    <row r="18" ht="15.75" customHeight="1">
      <c r="A18" s="89" t="s">
        <v>14</v>
      </c>
      <c r="B18" s="109"/>
      <c r="C18" s="90"/>
      <c r="D18" s="90"/>
      <c r="E18" s="90"/>
      <c r="F18" s="90"/>
      <c r="G18" s="90"/>
      <c r="H18" s="90"/>
      <c r="I18" s="90"/>
      <c r="J18" s="90"/>
      <c r="K18" s="90"/>
      <c r="L18" s="90"/>
      <c r="M18" s="116"/>
      <c r="N18" s="90">
        <f t="shared" ref="N18:AC18" si="2">(N17-M17)/M17</f>
        <v>-0.3141974207</v>
      </c>
      <c r="O18" s="90">
        <f t="shared" si="2"/>
        <v>0.04180542118</v>
      </c>
      <c r="P18" s="90">
        <f t="shared" si="2"/>
        <v>-0.02665100067</v>
      </c>
      <c r="Q18" s="90">
        <f t="shared" si="2"/>
        <v>-0.1404529425</v>
      </c>
      <c r="R18" s="90">
        <f t="shared" si="2"/>
        <v>-0.02710818745</v>
      </c>
      <c r="S18" s="90">
        <f t="shared" si="2"/>
        <v>0.07886293486</v>
      </c>
      <c r="T18" s="90">
        <f t="shared" si="2"/>
        <v>-0.1382503019</v>
      </c>
      <c r="U18" s="90">
        <f t="shared" si="2"/>
        <v>0.005735930247</v>
      </c>
      <c r="V18" s="90">
        <f t="shared" si="2"/>
        <v>0.3536556318</v>
      </c>
      <c r="W18" s="90">
        <f t="shared" si="2"/>
        <v>0.2540251962</v>
      </c>
      <c r="X18" s="90">
        <f t="shared" si="2"/>
        <v>-0.112492984</v>
      </c>
      <c r="Y18" s="90">
        <f t="shared" si="2"/>
        <v>0.1176814525</v>
      </c>
      <c r="Z18" s="90">
        <f t="shared" si="2"/>
        <v>-0.04579794084</v>
      </c>
      <c r="AA18" s="90">
        <f t="shared" si="2"/>
        <v>0.2772577435</v>
      </c>
      <c r="AB18" s="90">
        <f t="shared" si="2"/>
        <v>-0.1674734824</v>
      </c>
      <c r="AC18" s="90">
        <f t="shared" si="2"/>
        <v>-0.1038478839</v>
      </c>
      <c r="AD18" s="90">
        <f t="shared" ref="AD18:AR18" si="3">IF(AC17=0,0,(AD17-AC17)/AC17)</f>
        <v>-0.1596710682</v>
      </c>
      <c r="AE18" s="90">
        <f t="shared" si="3"/>
        <v>-0.09334224646</v>
      </c>
      <c r="AF18" s="90">
        <f t="shared" si="3"/>
        <v>0.1019034362</v>
      </c>
      <c r="AG18" s="90">
        <f t="shared" si="3"/>
        <v>0.0715121225</v>
      </c>
      <c r="AH18" s="90">
        <f t="shared" si="3"/>
        <v>-0.5038911712</v>
      </c>
      <c r="AI18" s="90">
        <f t="shared" si="3"/>
        <v>0.3130808543</v>
      </c>
      <c r="AJ18" s="90">
        <f t="shared" si="3"/>
        <v>-0.03695160527</v>
      </c>
      <c r="AK18" s="90">
        <f t="shared" si="3"/>
        <v>1.986097133</v>
      </c>
      <c r="AL18" s="90">
        <f t="shared" si="3"/>
        <v>0.07897030993</v>
      </c>
      <c r="AM18" s="90">
        <f t="shared" si="3"/>
        <v>-0.6679834208</v>
      </c>
      <c r="AN18" s="90">
        <f t="shared" si="3"/>
        <v>-1</v>
      </c>
      <c r="AO18" s="90">
        <f t="shared" si="3"/>
        <v>0</v>
      </c>
      <c r="AP18" s="90">
        <f t="shared" si="3"/>
        <v>0</v>
      </c>
      <c r="AQ18" s="90">
        <f t="shared" si="3"/>
        <v>0</v>
      </c>
      <c r="AR18" s="91">
        <f t="shared" si="3"/>
        <v>0</v>
      </c>
    </row>
    <row r="19" ht="15.7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92"/>
      <c r="AF19" s="77"/>
      <c r="AG19" s="77"/>
      <c r="AH19" s="77"/>
      <c r="AI19" s="77"/>
      <c r="AJ19" s="77"/>
      <c r="AK19" s="77"/>
      <c r="AL19" s="77"/>
      <c r="AM19" s="77"/>
      <c r="AN19" s="77"/>
      <c r="AO19" s="77"/>
      <c r="AP19" s="77"/>
      <c r="AQ19" s="77"/>
      <c r="AR19" s="77"/>
    </row>
    <row r="20" ht="15.75" customHeight="1">
      <c r="A20" s="77" t="s">
        <v>131</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row>
    <row r="21" ht="42.75" customHeight="1">
      <c r="A21" s="110" t="s">
        <v>132</v>
      </c>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row>
    <row r="22" ht="15.75" customHeight="1">
      <c r="A22" s="110" t="s">
        <v>133</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row>
    <row r="23" ht="15.75" customHeight="1">
      <c r="A23" s="110" t="s">
        <v>134</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102</v>
      </c>
      <c r="AD23" s="92">
        <f t="shared" ref="AD23:AE23" si="4">SUM(AD$5:AD$6)</f>
        <v>120784</v>
      </c>
      <c r="AE23" s="92">
        <f t="shared" si="4"/>
        <v>80951.84</v>
      </c>
      <c r="AF23" s="77"/>
      <c r="AG23" s="77"/>
      <c r="AH23" s="77"/>
      <c r="AI23" s="77"/>
      <c r="AJ23" s="77"/>
      <c r="AK23" s="77"/>
      <c r="AL23" s="77"/>
      <c r="AM23" s="77"/>
      <c r="AN23" s="77"/>
      <c r="AO23" s="77"/>
      <c r="AP23" s="77"/>
      <c r="AQ23" s="77"/>
      <c r="AR23" s="77"/>
    </row>
    <row r="24" ht="15.75" customHeight="1">
      <c r="A24" s="77" t="s">
        <v>105</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104</v>
      </c>
      <c r="AD24" s="92">
        <f t="shared" ref="AD24:AE24" si="5">SUM(AD$7:AD$11)</f>
        <v>225630</v>
      </c>
      <c r="AE24" s="92">
        <f t="shared" si="5"/>
        <v>212788.75</v>
      </c>
      <c r="AF24" s="77"/>
      <c r="AG24" s="77"/>
      <c r="AH24" s="77"/>
      <c r="AI24" s="77"/>
      <c r="AJ24" s="77"/>
      <c r="AK24" s="77"/>
      <c r="AL24" s="77"/>
      <c r="AM24" s="77"/>
      <c r="AN24" s="77"/>
      <c r="AO24" s="77"/>
      <c r="AP24" s="77"/>
      <c r="AQ24" s="77"/>
      <c r="AR24" s="77"/>
    </row>
    <row r="25" ht="15.7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row>
    <row r="26" ht="15.75"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row>
    <row r="27" ht="15.7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row>
    <row r="28" ht="15.75"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row>
    <row r="29" ht="15.75"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row>
    <row r="30" ht="15.75"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row>
    <row r="31" ht="15.75"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row>
    <row r="32" ht="15.75"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ht="15.7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ht="15.7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ht="15.7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row>
    <row r="36" ht="15.7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row>
    <row r="37" ht="15.75"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row>
    <row r="38" ht="15.75"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row>
    <row r="39" ht="15.75"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ht="15.75"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row>
    <row r="41" ht="15.7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row>
    <row r="42" ht="15.7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row>
    <row r="43" ht="15.7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row>
    <row r="44" ht="15.7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row>
    <row r="45" ht="15.75"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row>
    <row r="46" ht="15.7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row>
    <row r="47" ht="15.7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row>
    <row r="48" ht="15.75"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row>
    <row r="49" ht="15.7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row>
    <row r="50" ht="15.7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row>
    <row r="51" ht="15.75"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row>
    <row r="52" ht="15.7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row>
    <row r="53" ht="15.75" customHeigh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row>
    <row r="54" ht="15.75" customHeigh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row>
    <row r="55" ht="15.75" customHeigh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row>
    <row r="56" ht="15.75" customHeigh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row>
    <row r="57" ht="15.75"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row>
    <row r="58" ht="15.75" customHeigh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row>
    <row r="59" ht="15.75" customHeigh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row>
    <row r="60" ht="15.7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row>
    <row r="61" ht="15.7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row>
    <row r="62" ht="15.7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row>
    <row r="63" ht="15.7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row>
    <row r="64" ht="15.7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row>
    <row r="65" ht="15.7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row>
    <row r="66" ht="15.7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row>
    <row r="67" ht="15.7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row>
    <row r="68" ht="15.7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row>
    <row r="69" ht="15.7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row>
    <row r="70" ht="15.7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row>
    <row r="71" ht="15.7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row>
    <row r="72" ht="15.7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row>
    <row r="73" ht="15.7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row>
    <row r="74" ht="15.7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row>
    <row r="75" ht="15.7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row>
    <row r="76" ht="15.7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row>
    <row r="77" ht="15.7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row>
    <row r="78" ht="15.7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row>
    <row r="79" ht="15.7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row>
    <row r="80" ht="15.7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row>
    <row r="81" ht="15.7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row>
    <row r="82" ht="15.7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row>
    <row r="83" ht="15.7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row>
    <row r="84" ht="15.7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row>
    <row r="85" ht="15.7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row>
    <row r="86" ht="15.7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row>
    <row r="87" ht="15.7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row>
    <row r="88" ht="15.7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row>
    <row r="89" ht="15.7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row>
    <row r="90" ht="15.7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row>
    <row r="91" ht="15.7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row>
    <row r="92" ht="15.7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row>
    <row r="93" ht="15.7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row>
    <row r="94" ht="15.7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row>
    <row r="95" ht="15.7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row>
    <row r="96" ht="15.7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row>
    <row r="97" ht="15.7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row>
    <row r="98" ht="15.7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row>
    <row r="99" ht="15.7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row>
    <row r="100" ht="15.7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row>
    <row r="101" ht="15.7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row>
    <row r="102" ht="15.7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row>
    <row r="103" ht="15.7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row>
    <row r="104" ht="15.7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row>
    <row r="105" ht="15.7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row>
    <row r="106" ht="15.7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row>
    <row r="107" ht="15.7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row>
    <row r="108" ht="15.7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row>
    <row r="109" ht="15.7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row>
    <row r="110" ht="15.7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row>
    <row r="111" ht="15.7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row>
    <row r="112" ht="15.7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row>
    <row r="113" ht="15.7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row>
    <row r="114" ht="15.7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row>
    <row r="115" ht="15.7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row>
    <row r="116" ht="15.7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row>
    <row r="117" ht="15.7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row>
    <row r="118" ht="15.7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row>
    <row r="119" ht="15.7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row>
    <row r="120" ht="15.7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row>
    <row r="121" ht="15.7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row>
    <row r="122" ht="15.7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row>
    <row r="123" ht="15.7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row>
    <row r="124" ht="15.7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row>
    <row r="125" ht="15.7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row>
    <row r="126" ht="15.7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row>
    <row r="127" ht="15.7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row>
    <row r="128" ht="15.7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row>
    <row r="129" ht="15.7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row>
    <row r="130" ht="15.7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row>
    <row r="131" ht="15.7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row>
    <row r="132" ht="15.7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row>
    <row r="133" ht="15.7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row>
    <row r="134" ht="15.7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row>
    <row r="135" ht="15.7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row>
    <row r="136" ht="15.7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row>
    <row r="137" ht="15.7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row>
    <row r="138" ht="15.7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row>
    <row r="139" ht="15.7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row>
    <row r="140" ht="15.7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row>
    <row r="141" ht="15.7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row>
    <row r="142" ht="15.7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row>
    <row r="143" ht="15.7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row>
    <row r="144" ht="15.7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row>
    <row r="145" ht="15.7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ht="15.7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ht="15.7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row>
    <row r="148" ht="15.7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ht="15.7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ht="15.7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ht="15.7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ht="15.7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row>
    <row r="153" ht="15.7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ht="15.7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ht="15.7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ht="15.7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ht="15.7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ht="15.7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row>
    <row r="159" ht="15.7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ht="15.7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row>
    <row r="161" ht="15.7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row>
    <row r="162" ht="15.7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ht="15.7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ht="15.7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ht="15.7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row>
    <row r="166" ht="15.7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ht="15.7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ht="15.7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ht="15.7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ht="15.7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row>
    <row r="171" ht="15.7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ht="15.7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ht="15.7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row>
    <row r="174" ht="15.7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ht="15.7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ht="15.7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ht="15.7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ht="15.7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row>
    <row r="179" ht="15.7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ht="15.7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ht="15.7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ht="15.7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ht="15.7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ht="15.7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ht="15.7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row>
    <row r="186" ht="15.7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ht="15.7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row>
    <row r="188" ht="15.7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row>
    <row r="189" ht="15.7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row>
    <row r="190" ht="15.7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row>
    <row r="191" ht="15.7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row>
    <row r="192" ht="15.7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row>
    <row r="193" ht="15.7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row>
    <row r="194" ht="15.7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row>
    <row r="195" ht="15.7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row>
    <row r="196" ht="15.7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row>
    <row r="197" ht="15.7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row>
    <row r="198" ht="15.7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row>
    <row r="199" ht="15.7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row>
    <row r="200" ht="15.7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row>
    <row r="201" ht="15.7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row>
    <row r="202" ht="15.7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row>
    <row r="203" ht="15.7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row>
    <row r="204" ht="15.7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row>
    <row r="205" ht="15.7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row>
    <row r="206" ht="15.7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row>
    <row r="207" ht="15.7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row>
    <row r="208" ht="15.7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row>
    <row r="209" ht="15.7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row>
    <row r="210" ht="15.7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row>
    <row r="211" ht="15.7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row>
    <row r="212" ht="15.7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row>
    <row r="213" ht="15.7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row>
    <row r="214" ht="15.7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row>
    <row r="215" ht="15.7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row>
    <row r="216" ht="15.7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row>
    <row r="217" ht="15.7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ht="15.7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ht="15.7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ht="15.7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row>
    <row r="221" ht="15.7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row>
    <row r="222" ht="15.7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row>
    <row r="223" ht="15.7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row>
    <row r="224" ht="15.7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row>
    <row r="225" ht="15.7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row>
    <row r="226" ht="15.7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row>
    <row r="227" ht="15.7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row>
    <row r="228" ht="15.7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ht="15.7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row>
    <row r="230" ht="15.7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row>
    <row r="231" ht="15.7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row>
    <row r="232" ht="15.7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row>
    <row r="233" ht="15.7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row>
    <row r="234" ht="15.7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row>
    <row r="235" ht="15.7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row>
    <row r="236" ht="15.7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row>
    <row r="237" ht="15.7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row>
    <row r="238" ht="15.7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row>
    <row r="239" ht="15.7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row>
    <row r="240" ht="15.7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row>
    <row r="241" ht="15.7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row>
    <row r="242" ht="15.7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row>
    <row r="243" ht="15.7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row>
    <row r="244" ht="15.7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row>
    <row r="245" ht="15.7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row>
    <row r="246" ht="15.7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row>
    <row r="247" ht="15.7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row>
    <row r="248" ht="15.7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row>
    <row r="249" ht="15.75" customHeight="1">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row>
    <row r="250" ht="15.75" customHeight="1">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row>
    <row r="251" ht="15.75" customHeight="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row>
    <row r="252" ht="15.75" customHeight="1">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row>
    <row r="253" ht="15.75" customHeight="1">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row>
    <row r="254" ht="15.75" customHeight="1">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row>
    <row r="255" ht="15.75" customHeight="1">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row>
    <row r="256" ht="15.75" customHeight="1">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row>
    <row r="257" ht="15.75" customHeight="1">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row>
    <row r="258" ht="15.75" customHeight="1">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row>
    <row r="259" ht="15.75" customHeight="1">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row>
    <row r="260" ht="15.75" customHeight="1">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row>
    <row r="261" ht="15.75" customHeight="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row>
    <row r="262" ht="15.75" customHeight="1">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row>
    <row r="263" ht="15.75" customHeight="1">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row>
    <row r="264" ht="15.75" customHeight="1">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row>
    <row r="265" ht="15.75" customHeight="1">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row>
    <row r="266" ht="15.75" customHeight="1">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row>
    <row r="267" ht="15.75" customHeight="1">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row>
    <row r="268" ht="15.75" customHeight="1">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row>
    <row r="269" ht="15.75" customHeight="1">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row>
    <row r="270" ht="15.75" customHeight="1">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row>
    <row r="271" ht="15.75" customHeight="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row>
    <row r="272" ht="15.75" customHeight="1">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row>
    <row r="273" ht="15.75" customHeight="1">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row>
    <row r="274" ht="15.75" customHeight="1">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row>
    <row r="275" ht="15.75" customHeight="1">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row>
    <row r="276" ht="15.75" customHeight="1">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row>
    <row r="277" ht="15.75" customHeight="1">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row>
    <row r="278" ht="15.75" customHeight="1">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row>
    <row r="279" ht="15.75" customHeight="1">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row>
    <row r="280" ht="15.75" customHeight="1">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row>
    <row r="281" ht="15.75" customHeight="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row>
    <row r="282" ht="15.75" customHeight="1">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row>
    <row r="283" ht="15.75" customHeight="1">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row>
    <row r="284" ht="15.75" customHeight="1">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row>
    <row r="285" ht="15.75" customHeight="1">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row>
    <row r="286" ht="15.75" customHeight="1">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row>
    <row r="287" ht="15.75" customHeight="1">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row>
    <row r="288" ht="15.75" customHeight="1">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row>
    <row r="289" ht="15.75" customHeight="1">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row>
    <row r="290" ht="15.75" customHeight="1">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row>
    <row r="291" ht="15.75" customHeight="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row>
    <row r="292" ht="15.75" customHeight="1">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row>
    <row r="293" ht="15.75" customHeight="1">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row>
    <row r="294" ht="15.75" customHeight="1">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row>
    <row r="295" ht="15.75" customHeight="1">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row>
    <row r="296" ht="15.75" customHeight="1">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row>
    <row r="297" ht="15.75" customHeight="1">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row>
    <row r="298" ht="15.75" customHeight="1">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row>
    <row r="299" ht="15.75" customHeight="1">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row>
    <row r="300" ht="15.75" customHeight="1">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row>
    <row r="301" ht="15.75" customHeight="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row>
    <row r="302" ht="15.75" customHeight="1">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row>
    <row r="303" ht="15.75" customHeight="1">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row>
    <row r="304" ht="15.75" customHeight="1">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row>
    <row r="305" ht="15.75" customHeight="1">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row>
    <row r="306" ht="15.75" customHeight="1">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row>
    <row r="307" ht="15.75" customHeight="1">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row>
    <row r="308" ht="15.75" customHeight="1">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row>
    <row r="309" ht="15.75" customHeight="1">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row>
    <row r="310" ht="15.75" customHeight="1">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row>
    <row r="311" ht="15.75" customHeight="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77"/>
      <c r="AP311" s="77"/>
      <c r="AQ311" s="77"/>
      <c r="AR311" s="77"/>
    </row>
    <row r="312" ht="15.75" customHeight="1">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77"/>
      <c r="AP312" s="77"/>
      <c r="AQ312" s="77"/>
      <c r="AR312" s="77"/>
    </row>
    <row r="313" ht="15.75" customHeight="1">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77"/>
      <c r="AP313" s="77"/>
      <c r="AQ313" s="77"/>
      <c r="AR313" s="77"/>
    </row>
    <row r="314" ht="15.75" customHeight="1">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77"/>
      <c r="AP314" s="77"/>
      <c r="AQ314" s="77"/>
      <c r="AR314" s="77"/>
    </row>
    <row r="315" ht="15.75" customHeight="1">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77"/>
      <c r="AP315" s="77"/>
      <c r="AQ315" s="77"/>
      <c r="AR315" s="77"/>
    </row>
    <row r="316" ht="15.75" customHeight="1">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77"/>
      <c r="AP316" s="77"/>
      <c r="AQ316" s="77"/>
      <c r="AR316" s="77"/>
    </row>
    <row r="317" ht="15.75" customHeight="1">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77"/>
      <c r="AP317" s="77"/>
      <c r="AQ317" s="77"/>
      <c r="AR317" s="77"/>
    </row>
    <row r="318" ht="15.75" customHeight="1">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77"/>
      <c r="AP318" s="77"/>
      <c r="AQ318" s="77"/>
      <c r="AR318" s="77"/>
    </row>
    <row r="319" ht="15.75" customHeight="1">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77"/>
      <c r="AP319" s="77"/>
      <c r="AQ319" s="77"/>
      <c r="AR319" s="77"/>
    </row>
    <row r="320" ht="15.75" customHeight="1">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row>
    <row r="321" ht="15.75" customHeight="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77"/>
      <c r="AP321" s="77"/>
      <c r="AQ321" s="77"/>
      <c r="AR321" s="77"/>
    </row>
    <row r="322" ht="15.75" customHeight="1">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77"/>
      <c r="AP322" s="77"/>
      <c r="AQ322" s="77"/>
      <c r="AR322" s="77"/>
    </row>
    <row r="323" ht="15.75" customHeight="1">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77"/>
      <c r="AP323" s="77"/>
      <c r="AQ323" s="77"/>
      <c r="AR323" s="77"/>
    </row>
    <row r="324" ht="15.75" customHeight="1">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77"/>
      <c r="AP324" s="77"/>
      <c r="AQ324" s="77"/>
      <c r="AR324" s="77"/>
    </row>
    <row r="325" ht="15.75" customHeight="1">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77"/>
      <c r="AP325" s="77"/>
      <c r="AQ325" s="77"/>
      <c r="AR325" s="77"/>
    </row>
    <row r="326" ht="15.75" customHeight="1">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row>
    <row r="327" ht="15.75" customHeight="1">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row>
    <row r="328" ht="15.75" customHeight="1">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row>
    <row r="329" ht="15.75" customHeight="1">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row>
    <row r="330" ht="15.75" customHeight="1">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row>
    <row r="331" ht="15.75" customHeight="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row>
    <row r="332" ht="15.75" customHeight="1">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row>
    <row r="333" ht="15.75" customHeight="1">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row>
    <row r="334" ht="15.75" customHeight="1">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77"/>
      <c r="AP334" s="77"/>
      <c r="AQ334" s="77"/>
      <c r="AR334" s="77"/>
    </row>
    <row r="335" ht="15.75" customHeight="1">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row>
    <row r="336" ht="15.75" customHeight="1">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row>
    <row r="337" ht="15.75" customHeight="1">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ht="15.75" customHeight="1">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ht="15.75" customHeight="1">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ht="15.75" customHeight="1">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ht="15.75" customHeight="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ht="15.75" customHeight="1">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77"/>
      <c r="AP342" s="77"/>
      <c r="AQ342" s="77"/>
      <c r="AR342" s="77"/>
    </row>
    <row r="343" ht="15.75" customHeight="1">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77"/>
      <c r="AP343" s="77"/>
      <c r="AQ343" s="77"/>
      <c r="AR343" s="77"/>
    </row>
    <row r="344" ht="15.75" customHeight="1">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ht="15.75" customHeight="1">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77"/>
      <c r="AP345" s="77"/>
      <c r="AQ345" s="77"/>
      <c r="AR345" s="77"/>
    </row>
    <row r="346" ht="15.75" customHeight="1">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ht="15.75" customHeight="1">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ht="15.75" customHeight="1">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77"/>
      <c r="AP348" s="77"/>
      <c r="AQ348" s="77"/>
      <c r="AR348" s="77"/>
    </row>
    <row r="349" ht="15.75" customHeight="1">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ht="15.75" customHeight="1">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77"/>
      <c r="AP350" s="77"/>
      <c r="AQ350" s="77"/>
      <c r="AR350" s="77"/>
    </row>
    <row r="351" ht="15.75" customHeight="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ht="15.75" customHeight="1">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ht="15.75" customHeight="1">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77"/>
      <c r="AP353" s="77"/>
      <c r="AQ353" s="77"/>
      <c r="AR353" s="77"/>
    </row>
    <row r="354" ht="15.75" customHeight="1">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77"/>
      <c r="AP354" s="77"/>
      <c r="AQ354" s="77"/>
      <c r="AR354" s="77"/>
    </row>
    <row r="355" ht="15.75" customHeight="1">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77"/>
      <c r="AP355" s="77"/>
      <c r="AQ355" s="77"/>
      <c r="AR355" s="77"/>
    </row>
    <row r="356" ht="15.75" customHeight="1">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77"/>
      <c r="AP356" s="77"/>
      <c r="AQ356" s="77"/>
      <c r="AR356" s="77"/>
    </row>
    <row r="357" ht="15.75" customHeight="1">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77"/>
      <c r="AP357" s="77"/>
      <c r="AQ357" s="77"/>
      <c r="AR357" s="77"/>
    </row>
    <row r="358" ht="15.75" customHeight="1">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77"/>
      <c r="AP358" s="77"/>
      <c r="AQ358" s="77"/>
      <c r="AR358" s="77"/>
    </row>
    <row r="359" ht="15.75" customHeight="1">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77"/>
      <c r="AP359" s="77"/>
      <c r="AQ359" s="77"/>
      <c r="AR359" s="77"/>
    </row>
    <row r="360" ht="15.75" customHeight="1">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77"/>
      <c r="AP360" s="77"/>
      <c r="AQ360" s="77"/>
      <c r="AR360" s="77"/>
    </row>
    <row r="361" ht="15.75" customHeight="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77"/>
      <c r="AP361" s="77"/>
      <c r="AQ361" s="77"/>
      <c r="AR361" s="77"/>
    </row>
    <row r="362" ht="15.75" customHeight="1">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77"/>
      <c r="AP362" s="77"/>
      <c r="AQ362" s="77"/>
      <c r="AR362" s="77"/>
    </row>
    <row r="363" ht="15.75" customHeight="1">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row>
    <row r="364" ht="15.75" customHeight="1">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77"/>
      <c r="AP364" s="77"/>
      <c r="AQ364" s="77"/>
      <c r="AR364" s="77"/>
    </row>
    <row r="365" ht="15.75" customHeight="1">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77"/>
      <c r="AP365" s="77"/>
      <c r="AQ365" s="77"/>
      <c r="AR365" s="77"/>
    </row>
    <row r="366" ht="15.75" customHeight="1">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77"/>
      <c r="AP366" s="77"/>
      <c r="AQ366" s="77"/>
      <c r="AR366" s="77"/>
    </row>
    <row r="367" ht="15.75" customHeight="1">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77"/>
      <c r="AP367" s="77"/>
      <c r="AQ367" s="77"/>
      <c r="AR367" s="77"/>
    </row>
    <row r="368" ht="15.75" customHeight="1">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77"/>
      <c r="AP368" s="77"/>
      <c r="AQ368" s="77"/>
      <c r="AR368" s="77"/>
    </row>
    <row r="369" ht="15.75" customHeight="1">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77"/>
      <c r="AP369" s="77"/>
      <c r="AQ369" s="77"/>
      <c r="AR369" s="77"/>
    </row>
    <row r="370" ht="15.75" customHeight="1">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77"/>
      <c r="AP370" s="77"/>
      <c r="AQ370" s="77"/>
      <c r="AR370" s="77"/>
    </row>
    <row r="371" ht="15.75" customHeight="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77"/>
      <c r="AP371" s="77"/>
      <c r="AQ371" s="77"/>
      <c r="AR371" s="77"/>
    </row>
    <row r="372" ht="15.75" customHeight="1">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77"/>
      <c r="AP372" s="77"/>
      <c r="AQ372" s="77"/>
      <c r="AR372" s="77"/>
    </row>
    <row r="373" ht="15.75" customHeight="1">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77"/>
      <c r="AP373" s="77"/>
      <c r="AQ373" s="77"/>
      <c r="AR373" s="77"/>
    </row>
    <row r="374" ht="15.75" customHeight="1">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77"/>
      <c r="AP374" s="77"/>
      <c r="AQ374" s="77"/>
      <c r="AR374" s="77"/>
    </row>
    <row r="375" ht="15.75" customHeight="1">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77"/>
      <c r="AP375" s="77"/>
      <c r="AQ375" s="77"/>
      <c r="AR375" s="77"/>
    </row>
    <row r="376" ht="15.75" customHeight="1">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77"/>
      <c r="AP376" s="77"/>
      <c r="AQ376" s="77"/>
      <c r="AR376" s="77"/>
    </row>
    <row r="377" ht="15.75" customHeight="1">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77"/>
      <c r="AP377" s="77"/>
      <c r="AQ377" s="77"/>
      <c r="AR377" s="77"/>
    </row>
    <row r="378" ht="15.75" customHeight="1">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77"/>
      <c r="AP378" s="77"/>
      <c r="AQ378" s="77"/>
      <c r="AR378" s="77"/>
    </row>
    <row r="379" ht="15.75" customHeight="1">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77"/>
      <c r="AP379" s="77"/>
      <c r="AQ379" s="77"/>
      <c r="AR379" s="77"/>
    </row>
    <row r="380" ht="15.75" customHeight="1">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77"/>
      <c r="AP380" s="77"/>
      <c r="AQ380" s="77"/>
      <c r="AR380" s="77"/>
    </row>
    <row r="381" ht="15.75" customHeight="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77"/>
      <c r="AP381" s="77"/>
      <c r="AQ381" s="77"/>
      <c r="AR381" s="77"/>
    </row>
    <row r="382" ht="15.75" customHeight="1">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77"/>
      <c r="AP382" s="77"/>
      <c r="AQ382" s="77"/>
      <c r="AR382" s="77"/>
    </row>
    <row r="383" ht="15.75" customHeight="1">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77"/>
      <c r="AP383" s="77"/>
      <c r="AQ383" s="77"/>
      <c r="AR383" s="77"/>
    </row>
    <row r="384" ht="15.75" customHeight="1">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row>
    <row r="385" ht="15.75" customHeight="1">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77"/>
      <c r="AP385" s="77"/>
      <c r="AQ385" s="77"/>
      <c r="AR385" s="77"/>
    </row>
    <row r="386" ht="15.75" customHeight="1">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77"/>
      <c r="AP386" s="77"/>
      <c r="AQ386" s="77"/>
      <c r="AR386" s="77"/>
    </row>
    <row r="387" ht="15.75" customHeight="1">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77"/>
      <c r="AP387" s="77"/>
      <c r="AQ387" s="77"/>
      <c r="AR387" s="77"/>
    </row>
    <row r="388" ht="15.75" customHeight="1">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row>
    <row r="389" ht="15.75" customHeight="1">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77"/>
      <c r="AP389" s="77"/>
      <c r="AQ389" s="77"/>
      <c r="AR389" s="77"/>
    </row>
    <row r="390" ht="15.75" customHeight="1">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77"/>
      <c r="AP390" s="77"/>
      <c r="AQ390" s="77"/>
      <c r="AR390" s="77"/>
    </row>
    <row r="391" ht="15.75" customHeight="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77"/>
      <c r="AP391" s="77"/>
      <c r="AQ391" s="77"/>
      <c r="AR391" s="77"/>
    </row>
    <row r="392" ht="15.75" customHeight="1">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77"/>
      <c r="AP392" s="77"/>
      <c r="AQ392" s="77"/>
      <c r="AR392" s="77"/>
    </row>
    <row r="393" ht="15.75" customHeight="1">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77"/>
      <c r="AP393" s="77"/>
      <c r="AQ393" s="77"/>
      <c r="AR393" s="77"/>
    </row>
    <row r="394" ht="15.75" customHeight="1">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77"/>
      <c r="AP394" s="77"/>
      <c r="AQ394" s="77"/>
      <c r="AR394" s="77"/>
    </row>
    <row r="395" ht="15.75" customHeight="1">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77"/>
      <c r="AP395" s="77"/>
      <c r="AQ395" s="77"/>
      <c r="AR395" s="77"/>
    </row>
    <row r="396" ht="15.75" customHeight="1">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77"/>
      <c r="AP396" s="77"/>
      <c r="AQ396" s="77"/>
      <c r="AR396" s="77"/>
    </row>
    <row r="397" ht="15.75" customHeight="1">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77"/>
      <c r="AP397" s="77"/>
      <c r="AQ397" s="77"/>
      <c r="AR397" s="77"/>
    </row>
    <row r="398" ht="15.75" customHeight="1">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77"/>
      <c r="AP398" s="77"/>
      <c r="AQ398" s="77"/>
      <c r="AR398" s="77"/>
    </row>
    <row r="399" ht="15.75" customHeight="1">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77"/>
      <c r="AP399" s="77"/>
      <c r="AQ399" s="77"/>
      <c r="AR399" s="77"/>
    </row>
    <row r="400" ht="15.75" customHeight="1">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77"/>
      <c r="AP400" s="77"/>
      <c r="AQ400" s="77"/>
      <c r="AR400" s="77"/>
    </row>
    <row r="401" ht="15.75" customHeight="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ht="15.75" customHeight="1">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ht="15.75" customHeight="1">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77"/>
      <c r="AP403" s="77"/>
      <c r="AQ403" s="77"/>
      <c r="AR403" s="77"/>
    </row>
    <row r="404" ht="15.75" customHeight="1">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77"/>
      <c r="AP404" s="77"/>
      <c r="AQ404" s="77"/>
      <c r="AR404" s="77"/>
    </row>
    <row r="405" ht="15.75" customHeight="1">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77"/>
      <c r="AP405" s="77"/>
      <c r="AQ405" s="77"/>
      <c r="AR405" s="77"/>
    </row>
    <row r="406" ht="15.75" customHeight="1">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77"/>
      <c r="AP406" s="77"/>
      <c r="AQ406" s="77"/>
      <c r="AR406" s="77"/>
    </row>
    <row r="407" ht="15.75" customHeight="1">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77"/>
      <c r="AP407" s="77"/>
      <c r="AQ407" s="77"/>
      <c r="AR407" s="77"/>
    </row>
    <row r="408" ht="15.75" customHeight="1">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77"/>
      <c r="AP408" s="77"/>
      <c r="AQ408" s="77"/>
      <c r="AR408" s="77"/>
    </row>
    <row r="409" ht="15.75" customHeight="1">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77"/>
      <c r="AP409" s="77"/>
      <c r="AQ409" s="77"/>
      <c r="AR409" s="77"/>
    </row>
    <row r="410" ht="15.75" customHeight="1">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77"/>
      <c r="AP410" s="77"/>
      <c r="AQ410" s="77"/>
      <c r="AR410" s="77"/>
    </row>
    <row r="411" ht="15.75" customHeight="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77"/>
      <c r="AP411" s="77"/>
      <c r="AQ411" s="77"/>
      <c r="AR411" s="77"/>
    </row>
    <row r="412" ht="15.75" customHeight="1">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77"/>
      <c r="AP412" s="77"/>
      <c r="AQ412" s="77"/>
      <c r="AR412" s="77"/>
    </row>
    <row r="413" ht="15.75" customHeight="1">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77"/>
      <c r="AP413" s="77"/>
      <c r="AQ413" s="77"/>
      <c r="AR413" s="77"/>
    </row>
    <row r="414" ht="15.75" customHeight="1">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ht="15.75" customHeight="1">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ht="15.75" customHeight="1">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ht="15.75" customHeight="1">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77"/>
      <c r="AP417" s="77"/>
      <c r="AQ417" s="77"/>
      <c r="AR417" s="77"/>
    </row>
    <row r="418" ht="15.75" customHeight="1">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77"/>
      <c r="AP418" s="77"/>
      <c r="AQ418" s="77"/>
      <c r="AR418" s="77"/>
    </row>
    <row r="419" ht="15.75" customHeight="1">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77"/>
      <c r="AP419" s="77"/>
      <c r="AQ419" s="77"/>
      <c r="AR419" s="77"/>
    </row>
    <row r="420" ht="15.75" customHeight="1">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77"/>
      <c r="AP420" s="77"/>
      <c r="AQ420" s="77"/>
      <c r="AR420" s="77"/>
    </row>
    <row r="421" ht="15.75" customHeight="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77"/>
      <c r="AP421" s="77"/>
      <c r="AQ421" s="77"/>
      <c r="AR421" s="77"/>
    </row>
    <row r="422" ht="15.75" customHeight="1">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77"/>
      <c r="AP422" s="77"/>
      <c r="AQ422" s="77"/>
      <c r="AR422" s="77"/>
    </row>
    <row r="423" ht="15.75" customHeight="1">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77"/>
      <c r="AP423" s="77"/>
      <c r="AQ423" s="77"/>
      <c r="AR423" s="77"/>
    </row>
    <row r="424" ht="15.75" customHeight="1">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77"/>
      <c r="AP424" s="77"/>
      <c r="AQ424" s="77"/>
      <c r="AR424" s="77"/>
    </row>
    <row r="425" ht="15.75" customHeight="1">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77"/>
      <c r="AP425" s="77"/>
      <c r="AQ425" s="77"/>
      <c r="AR425" s="77"/>
    </row>
    <row r="426" ht="15.75" customHeight="1">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77"/>
      <c r="AP426" s="77"/>
      <c r="AQ426" s="77"/>
      <c r="AR426" s="77"/>
    </row>
    <row r="427" ht="15.75" customHeight="1">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77"/>
      <c r="AP427" s="77"/>
      <c r="AQ427" s="77"/>
      <c r="AR427" s="77"/>
    </row>
    <row r="428" ht="15.75" customHeight="1">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77"/>
      <c r="AP428" s="77"/>
      <c r="AQ428" s="77"/>
      <c r="AR428" s="77"/>
    </row>
    <row r="429" ht="15.75" customHeight="1">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77"/>
      <c r="AP429" s="77"/>
      <c r="AQ429" s="77"/>
      <c r="AR429" s="77"/>
    </row>
    <row r="430" ht="15.75" customHeight="1">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77"/>
      <c r="AP430" s="77"/>
      <c r="AQ430" s="77"/>
      <c r="AR430" s="77"/>
    </row>
    <row r="431" ht="15.75" customHeight="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77"/>
      <c r="AP431" s="77"/>
      <c r="AQ431" s="77"/>
      <c r="AR431" s="77"/>
    </row>
    <row r="432" ht="15.75" customHeight="1">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77"/>
      <c r="AP432" s="77"/>
      <c r="AQ432" s="77"/>
      <c r="AR432" s="77"/>
    </row>
    <row r="433" ht="15.75" customHeight="1">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77"/>
      <c r="AP433" s="77"/>
      <c r="AQ433" s="77"/>
      <c r="AR433" s="77"/>
    </row>
    <row r="434" ht="15.75" customHeight="1">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77"/>
      <c r="AP434" s="77"/>
      <c r="AQ434" s="77"/>
      <c r="AR434" s="77"/>
    </row>
    <row r="435" ht="15.75" customHeight="1">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77"/>
      <c r="AP435" s="77"/>
      <c r="AQ435" s="77"/>
      <c r="AR435" s="77"/>
    </row>
    <row r="436" ht="15.75" customHeight="1">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77"/>
      <c r="AP436" s="77"/>
      <c r="AQ436" s="77"/>
      <c r="AR436" s="77"/>
    </row>
    <row r="437" ht="15.75" customHeight="1">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77"/>
      <c r="AP437" s="77"/>
      <c r="AQ437" s="77"/>
      <c r="AR437" s="77"/>
    </row>
    <row r="438" ht="15.75" customHeight="1">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77"/>
      <c r="AP438" s="77"/>
      <c r="AQ438" s="77"/>
      <c r="AR438" s="77"/>
    </row>
    <row r="439" ht="15.75" customHeight="1">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77"/>
      <c r="AM439" s="77"/>
      <c r="AN439" s="77"/>
      <c r="AO439" s="77"/>
      <c r="AP439" s="77"/>
      <c r="AQ439" s="77"/>
      <c r="AR439" s="77"/>
    </row>
    <row r="440" ht="15.75" customHeight="1">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77"/>
      <c r="AM440" s="77"/>
      <c r="AN440" s="77"/>
      <c r="AO440" s="77"/>
      <c r="AP440" s="77"/>
      <c r="AQ440" s="77"/>
      <c r="AR440" s="77"/>
    </row>
    <row r="441" ht="15.75" customHeight="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77"/>
      <c r="AM441" s="77"/>
      <c r="AN441" s="77"/>
      <c r="AO441" s="77"/>
      <c r="AP441" s="77"/>
      <c r="AQ441" s="77"/>
      <c r="AR441" s="77"/>
    </row>
    <row r="442" ht="15.75" customHeight="1">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77"/>
      <c r="AM442" s="77"/>
      <c r="AN442" s="77"/>
      <c r="AO442" s="77"/>
      <c r="AP442" s="77"/>
      <c r="AQ442" s="77"/>
      <c r="AR442" s="77"/>
    </row>
    <row r="443" ht="15.75" customHeight="1">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77"/>
      <c r="AM443" s="77"/>
      <c r="AN443" s="77"/>
      <c r="AO443" s="77"/>
      <c r="AP443" s="77"/>
      <c r="AQ443" s="77"/>
      <c r="AR443" s="77"/>
    </row>
    <row r="444" ht="15.75" customHeight="1">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77"/>
      <c r="AM444" s="77"/>
      <c r="AN444" s="77"/>
      <c r="AO444" s="77"/>
      <c r="AP444" s="77"/>
      <c r="AQ444" s="77"/>
      <c r="AR444" s="77"/>
    </row>
    <row r="445" ht="15.75" customHeight="1">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77"/>
      <c r="AM445" s="77"/>
      <c r="AN445" s="77"/>
      <c r="AO445" s="77"/>
      <c r="AP445" s="77"/>
      <c r="AQ445" s="77"/>
      <c r="AR445" s="77"/>
    </row>
    <row r="446" ht="15.75" customHeight="1">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77"/>
      <c r="AM446" s="77"/>
      <c r="AN446" s="77"/>
      <c r="AO446" s="77"/>
      <c r="AP446" s="77"/>
      <c r="AQ446" s="77"/>
      <c r="AR446" s="77"/>
    </row>
    <row r="447" ht="15.75" customHeight="1">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77"/>
      <c r="AM447" s="77"/>
      <c r="AN447" s="77"/>
      <c r="AO447" s="77"/>
      <c r="AP447" s="77"/>
      <c r="AQ447" s="77"/>
      <c r="AR447" s="77"/>
    </row>
    <row r="448" ht="15.75" customHeight="1">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77"/>
      <c r="AM448" s="77"/>
      <c r="AN448" s="77"/>
      <c r="AO448" s="77"/>
      <c r="AP448" s="77"/>
      <c r="AQ448" s="77"/>
      <c r="AR448" s="77"/>
    </row>
    <row r="449" ht="15.75" customHeight="1">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77"/>
      <c r="AM449" s="77"/>
      <c r="AN449" s="77"/>
      <c r="AO449" s="77"/>
      <c r="AP449" s="77"/>
      <c r="AQ449" s="77"/>
      <c r="AR449" s="77"/>
    </row>
    <row r="450" ht="15.75" customHeight="1">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77"/>
      <c r="AM450" s="77"/>
      <c r="AN450" s="77"/>
      <c r="AO450" s="77"/>
      <c r="AP450" s="77"/>
      <c r="AQ450" s="77"/>
      <c r="AR450" s="77"/>
    </row>
    <row r="451" ht="15.75" customHeight="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77"/>
      <c r="AM451" s="77"/>
      <c r="AN451" s="77"/>
      <c r="AO451" s="77"/>
      <c r="AP451" s="77"/>
      <c r="AQ451" s="77"/>
      <c r="AR451" s="77"/>
    </row>
    <row r="452" ht="15.75" customHeight="1">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77"/>
      <c r="AM452" s="77"/>
      <c r="AN452" s="77"/>
      <c r="AO452" s="77"/>
      <c r="AP452" s="77"/>
      <c r="AQ452" s="77"/>
      <c r="AR452" s="77"/>
    </row>
    <row r="453" ht="15.75" customHeight="1">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77"/>
      <c r="AM453" s="77"/>
      <c r="AN453" s="77"/>
      <c r="AO453" s="77"/>
      <c r="AP453" s="77"/>
      <c r="AQ453" s="77"/>
      <c r="AR453" s="77"/>
    </row>
    <row r="454" ht="15.75" customHeight="1">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77"/>
      <c r="AM454" s="77"/>
      <c r="AN454" s="77"/>
      <c r="AO454" s="77"/>
      <c r="AP454" s="77"/>
      <c r="AQ454" s="77"/>
      <c r="AR454" s="77"/>
    </row>
    <row r="455" ht="15.75" customHeight="1">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77"/>
      <c r="AM455" s="77"/>
      <c r="AN455" s="77"/>
      <c r="AO455" s="77"/>
      <c r="AP455" s="77"/>
      <c r="AQ455" s="77"/>
      <c r="AR455" s="77"/>
    </row>
    <row r="456" ht="15.75" customHeight="1">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77"/>
      <c r="AM456" s="77"/>
      <c r="AN456" s="77"/>
      <c r="AO456" s="77"/>
      <c r="AP456" s="77"/>
      <c r="AQ456" s="77"/>
      <c r="AR456" s="77"/>
    </row>
    <row r="457" ht="15.75" customHeight="1">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77"/>
      <c r="AM457" s="77"/>
      <c r="AN457" s="77"/>
      <c r="AO457" s="77"/>
      <c r="AP457" s="77"/>
      <c r="AQ457" s="77"/>
      <c r="AR457" s="77"/>
    </row>
    <row r="458" ht="15.75" customHeight="1">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77"/>
      <c r="AM458" s="77"/>
      <c r="AN458" s="77"/>
      <c r="AO458" s="77"/>
      <c r="AP458" s="77"/>
      <c r="AQ458" s="77"/>
      <c r="AR458" s="77"/>
    </row>
    <row r="459" ht="15.75" customHeight="1">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77"/>
      <c r="AM459" s="77"/>
      <c r="AN459" s="77"/>
      <c r="AO459" s="77"/>
      <c r="AP459" s="77"/>
      <c r="AQ459" s="77"/>
      <c r="AR459" s="77"/>
    </row>
    <row r="460" ht="15.75" customHeight="1">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77"/>
      <c r="AM460" s="77"/>
      <c r="AN460" s="77"/>
      <c r="AO460" s="77"/>
      <c r="AP460" s="77"/>
      <c r="AQ460" s="77"/>
      <c r="AR460" s="77"/>
    </row>
    <row r="461" ht="15.75" customHeight="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77"/>
      <c r="AM461" s="77"/>
      <c r="AN461" s="77"/>
      <c r="AO461" s="77"/>
      <c r="AP461" s="77"/>
      <c r="AQ461" s="77"/>
      <c r="AR461" s="77"/>
    </row>
    <row r="462" ht="15.75" customHeight="1">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77"/>
      <c r="AM462" s="77"/>
      <c r="AN462" s="77"/>
      <c r="AO462" s="77"/>
      <c r="AP462" s="77"/>
      <c r="AQ462" s="77"/>
      <c r="AR462" s="77"/>
    </row>
    <row r="463" ht="15.75" customHeight="1">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77"/>
      <c r="AM463" s="77"/>
      <c r="AN463" s="77"/>
      <c r="AO463" s="77"/>
      <c r="AP463" s="77"/>
      <c r="AQ463" s="77"/>
      <c r="AR463" s="77"/>
    </row>
    <row r="464" ht="15.75" customHeight="1">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77"/>
      <c r="AM464" s="77"/>
      <c r="AN464" s="77"/>
      <c r="AO464" s="77"/>
      <c r="AP464" s="77"/>
      <c r="AQ464" s="77"/>
      <c r="AR464" s="77"/>
    </row>
    <row r="465" ht="15.75" customHeight="1">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77"/>
      <c r="AM465" s="77"/>
      <c r="AN465" s="77"/>
      <c r="AO465" s="77"/>
      <c r="AP465" s="77"/>
      <c r="AQ465" s="77"/>
      <c r="AR465" s="77"/>
    </row>
    <row r="466" ht="15.75" customHeight="1">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c r="AH466" s="77"/>
      <c r="AI466" s="77"/>
      <c r="AJ466" s="77"/>
      <c r="AK466" s="77"/>
      <c r="AL466" s="77"/>
      <c r="AM466" s="77"/>
      <c r="AN466" s="77"/>
      <c r="AO466" s="77"/>
      <c r="AP466" s="77"/>
      <c r="AQ466" s="77"/>
      <c r="AR466" s="77"/>
    </row>
    <row r="467" ht="15.75" customHeight="1">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c r="AH467" s="77"/>
      <c r="AI467" s="77"/>
      <c r="AJ467" s="77"/>
      <c r="AK467" s="77"/>
      <c r="AL467" s="77"/>
      <c r="AM467" s="77"/>
      <c r="AN467" s="77"/>
      <c r="AO467" s="77"/>
      <c r="AP467" s="77"/>
      <c r="AQ467" s="77"/>
      <c r="AR467" s="77"/>
    </row>
    <row r="468" ht="15.75" customHeight="1">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c r="AB468" s="77"/>
      <c r="AC468" s="77"/>
      <c r="AD468" s="77"/>
      <c r="AE468" s="77"/>
      <c r="AF468" s="77"/>
      <c r="AG468" s="77"/>
      <c r="AH468" s="77"/>
      <c r="AI468" s="77"/>
      <c r="AJ468" s="77"/>
      <c r="AK468" s="77"/>
      <c r="AL468" s="77"/>
      <c r="AM468" s="77"/>
      <c r="AN468" s="77"/>
      <c r="AO468" s="77"/>
      <c r="AP468" s="77"/>
      <c r="AQ468" s="77"/>
      <c r="AR468" s="77"/>
    </row>
    <row r="469" ht="15.75" customHeight="1">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c r="AH469" s="77"/>
      <c r="AI469" s="77"/>
      <c r="AJ469" s="77"/>
      <c r="AK469" s="77"/>
      <c r="AL469" s="77"/>
      <c r="AM469" s="77"/>
      <c r="AN469" s="77"/>
      <c r="AO469" s="77"/>
      <c r="AP469" s="77"/>
      <c r="AQ469" s="77"/>
      <c r="AR469" s="77"/>
    </row>
    <row r="470" ht="15.75" customHeight="1">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c r="AB470" s="77"/>
      <c r="AC470" s="77"/>
      <c r="AD470" s="77"/>
      <c r="AE470" s="77"/>
      <c r="AF470" s="77"/>
      <c r="AG470" s="77"/>
      <c r="AH470" s="77"/>
      <c r="AI470" s="77"/>
      <c r="AJ470" s="77"/>
      <c r="AK470" s="77"/>
      <c r="AL470" s="77"/>
      <c r="AM470" s="77"/>
      <c r="AN470" s="77"/>
      <c r="AO470" s="77"/>
      <c r="AP470" s="77"/>
      <c r="AQ470" s="77"/>
      <c r="AR470" s="77"/>
    </row>
    <row r="471" ht="15.75" customHeight="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c r="AB471" s="77"/>
      <c r="AC471" s="77"/>
      <c r="AD471" s="77"/>
      <c r="AE471" s="77"/>
      <c r="AF471" s="77"/>
      <c r="AG471" s="77"/>
      <c r="AH471" s="77"/>
      <c r="AI471" s="77"/>
      <c r="AJ471" s="77"/>
      <c r="AK471" s="77"/>
      <c r="AL471" s="77"/>
      <c r="AM471" s="77"/>
      <c r="AN471" s="77"/>
      <c r="AO471" s="77"/>
      <c r="AP471" s="77"/>
      <c r="AQ471" s="77"/>
      <c r="AR471" s="77"/>
    </row>
    <row r="472" ht="15.75" customHeight="1">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c r="AB472" s="77"/>
      <c r="AC472" s="77"/>
      <c r="AD472" s="77"/>
      <c r="AE472" s="77"/>
      <c r="AF472" s="77"/>
      <c r="AG472" s="77"/>
      <c r="AH472" s="77"/>
      <c r="AI472" s="77"/>
      <c r="AJ472" s="77"/>
      <c r="AK472" s="77"/>
      <c r="AL472" s="77"/>
      <c r="AM472" s="77"/>
      <c r="AN472" s="77"/>
      <c r="AO472" s="77"/>
      <c r="AP472" s="77"/>
      <c r="AQ472" s="77"/>
      <c r="AR472" s="77"/>
    </row>
    <row r="473" ht="15.75" customHeight="1">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c r="AB473" s="77"/>
      <c r="AC473" s="77"/>
      <c r="AD473" s="77"/>
      <c r="AE473" s="77"/>
      <c r="AF473" s="77"/>
      <c r="AG473" s="77"/>
      <c r="AH473" s="77"/>
      <c r="AI473" s="77"/>
      <c r="AJ473" s="77"/>
      <c r="AK473" s="77"/>
      <c r="AL473" s="77"/>
      <c r="AM473" s="77"/>
      <c r="AN473" s="77"/>
      <c r="AO473" s="77"/>
      <c r="AP473" s="77"/>
      <c r="AQ473" s="77"/>
      <c r="AR473" s="77"/>
    </row>
    <row r="474" ht="15.75" customHeight="1">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c r="AB474" s="77"/>
      <c r="AC474" s="77"/>
      <c r="AD474" s="77"/>
      <c r="AE474" s="77"/>
      <c r="AF474" s="77"/>
      <c r="AG474" s="77"/>
      <c r="AH474" s="77"/>
      <c r="AI474" s="77"/>
      <c r="AJ474" s="77"/>
      <c r="AK474" s="77"/>
      <c r="AL474" s="77"/>
      <c r="AM474" s="77"/>
      <c r="AN474" s="77"/>
      <c r="AO474" s="77"/>
      <c r="AP474" s="77"/>
      <c r="AQ474" s="77"/>
      <c r="AR474" s="77"/>
    </row>
    <row r="475" ht="15.75" customHeight="1">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c r="AB475" s="77"/>
      <c r="AC475" s="77"/>
      <c r="AD475" s="77"/>
      <c r="AE475" s="77"/>
      <c r="AF475" s="77"/>
      <c r="AG475" s="77"/>
      <c r="AH475" s="77"/>
      <c r="AI475" s="77"/>
      <c r="AJ475" s="77"/>
      <c r="AK475" s="77"/>
      <c r="AL475" s="77"/>
      <c r="AM475" s="77"/>
      <c r="AN475" s="77"/>
      <c r="AO475" s="77"/>
      <c r="AP475" s="77"/>
      <c r="AQ475" s="77"/>
      <c r="AR475" s="77"/>
    </row>
    <row r="476" ht="15.75" customHeight="1">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c r="AB476" s="77"/>
      <c r="AC476" s="77"/>
      <c r="AD476" s="77"/>
      <c r="AE476" s="77"/>
      <c r="AF476" s="77"/>
      <c r="AG476" s="77"/>
      <c r="AH476" s="77"/>
      <c r="AI476" s="77"/>
      <c r="AJ476" s="77"/>
      <c r="AK476" s="77"/>
      <c r="AL476" s="77"/>
      <c r="AM476" s="77"/>
      <c r="AN476" s="77"/>
      <c r="AO476" s="77"/>
      <c r="AP476" s="77"/>
      <c r="AQ476" s="77"/>
      <c r="AR476" s="77"/>
    </row>
    <row r="477" ht="15.75" customHeight="1">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c r="AB477" s="77"/>
      <c r="AC477" s="77"/>
      <c r="AD477" s="77"/>
      <c r="AE477" s="77"/>
      <c r="AF477" s="77"/>
      <c r="AG477" s="77"/>
      <c r="AH477" s="77"/>
      <c r="AI477" s="77"/>
      <c r="AJ477" s="77"/>
      <c r="AK477" s="77"/>
      <c r="AL477" s="77"/>
      <c r="AM477" s="77"/>
      <c r="AN477" s="77"/>
      <c r="AO477" s="77"/>
      <c r="AP477" s="77"/>
      <c r="AQ477" s="77"/>
      <c r="AR477" s="77"/>
    </row>
    <row r="478" ht="15.75" customHeight="1">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c r="AB478" s="77"/>
      <c r="AC478" s="77"/>
      <c r="AD478" s="77"/>
      <c r="AE478" s="77"/>
      <c r="AF478" s="77"/>
      <c r="AG478" s="77"/>
      <c r="AH478" s="77"/>
      <c r="AI478" s="77"/>
      <c r="AJ478" s="77"/>
      <c r="AK478" s="77"/>
      <c r="AL478" s="77"/>
      <c r="AM478" s="77"/>
      <c r="AN478" s="77"/>
      <c r="AO478" s="77"/>
      <c r="AP478" s="77"/>
      <c r="AQ478" s="77"/>
      <c r="AR478" s="77"/>
    </row>
    <row r="479" ht="15.75" customHeight="1">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c r="AH479" s="77"/>
      <c r="AI479" s="77"/>
      <c r="AJ479" s="77"/>
      <c r="AK479" s="77"/>
      <c r="AL479" s="77"/>
      <c r="AM479" s="77"/>
      <c r="AN479" s="77"/>
      <c r="AO479" s="77"/>
      <c r="AP479" s="77"/>
      <c r="AQ479" s="77"/>
      <c r="AR479" s="77"/>
    </row>
    <row r="480" ht="15.75" customHeight="1">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c r="AH480" s="77"/>
      <c r="AI480" s="77"/>
      <c r="AJ480" s="77"/>
      <c r="AK480" s="77"/>
      <c r="AL480" s="77"/>
      <c r="AM480" s="77"/>
      <c r="AN480" s="77"/>
      <c r="AO480" s="77"/>
      <c r="AP480" s="77"/>
      <c r="AQ480" s="77"/>
      <c r="AR480" s="77"/>
    </row>
    <row r="481" ht="15.75" customHeight="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c r="AB481" s="77"/>
      <c r="AC481" s="77"/>
      <c r="AD481" s="77"/>
      <c r="AE481" s="77"/>
      <c r="AF481" s="77"/>
      <c r="AG481" s="77"/>
      <c r="AH481" s="77"/>
      <c r="AI481" s="77"/>
      <c r="AJ481" s="77"/>
      <c r="AK481" s="77"/>
      <c r="AL481" s="77"/>
      <c r="AM481" s="77"/>
      <c r="AN481" s="77"/>
      <c r="AO481" s="77"/>
      <c r="AP481" s="77"/>
      <c r="AQ481" s="77"/>
      <c r="AR481" s="77"/>
    </row>
    <row r="482" ht="15.75" customHeight="1">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c r="AB482" s="77"/>
      <c r="AC482" s="77"/>
      <c r="AD482" s="77"/>
      <c r="AE482" s="77"/>
      <c r="AF482" s="77"/>
      <c r="AG482" s="77"/>
      <c r="AH482" s="77"/>
      <c r="AI482" s="77"/>
      <c r="AJ482" s="77"/>
      <c r="AK482" s="77"/>
      <c r="AL482" s="77"/>
      <c r="AM482" s="77"/>
      <c r="AN482" s="77"/>
      <c r="AO482" s="77"/>
      <c r="AP482" s="77"/>
      <c r="AQ482" s="77"/>
      <c r="AR482" s="77"/>
    </row>
    <row r="483" ht="15.75" customHeight="1">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row>
    <row r="484" ht="15.75" customHeight="1">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row>
    <row r="485" ht="15.75" customHeight="1">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row>
    <row r="486" ht="15.75" customHeight="1">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row>
    <row r="487" ht="15.75" customHeight="1">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row>
    <row r="488" ht="15.75" customHeight="1">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row>
    <row r="489" ht="15.75" customHeight="1">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row>
    <row r="490" ht="15.75" customHeight="1">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row>
    <row r="491" ht="15.75" customHeight="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row>
    <row r="492" ht="15.75" customHeight="1">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row>
    <row r="493" ht="15.75" customHeight="1">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row>
    <row r="494" ht="15.75" customHeight="1">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row>
    <row r="495" ht="15.75" customHeight="1">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row>
    <row r="496" ht="15.75" customHeight="1">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row>
    <row r="497" ht="15.75" customHeight="1">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row>
    <row r="498" ht="15.75" customHeight="1">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row>
    <row r="499" ht="15.75" customHeight="1">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row>
    <row r="500" ht="15.75" customHeight="1">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row>
    <row r="501" ht="15.75" customHeight="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row>
    <row r="502" ht="15.75" customHeight="1">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row>
    <row r="503" ht="15.75" customHeight="1">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row>
    <row r="504" ht="15.75" customHeight="1">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row>
    <row r="505" ht="15.75" customHeight="1">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row>
    <row r="506" ht="15.75" customHeight="1">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row>
    <row r="507" ht="15.75" customHeight="1">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row>
    <row r="508" ht="15.75" customHeight="1">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row>
    <row r="509" ht="15.75" customHeight="1">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row>
    <row r="510" ht="15.75" customHeight="1">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row>
    <row r="511" ht="15.75" customHeight="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row>
    <row r="512" ht="15.75" customHeight="1">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row>
    <row r="513" ht="15.75" customHeight="1">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row>
    <row r="514" ht="15.75" customHeight="1">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row>
    <row r="515" ht="15.75" customHeight="1">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row>
    <row r="516" ht="15.75" customHeight="1">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row>
    <row r="517" ht="15.75" customHeight="1">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row>
    <row r="518" ht="15.75" customHeight="1">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row>
    <row r="519" ht="15.75" customHeight="1">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row>
    <row r="520" ht="15.75" customHeight="1">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row>
    <row r="521" ht="15.75" customHeight="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row>
    <row r="522" ht="15.75" customHeight="1">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row>
    <row r="523" ht="15.75" customHeight="1">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row>
    <row r="524" ht="15.75" customHeight="1">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row>
    <row r="525" ht="15.75" customHeight="1">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row>
    <row r="526" ht="15.75" customHeight="1">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row>
    <row r="527" ht="15.75" customHeight="1">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row>
    <row r="528" ht="15.75" customHeight="1">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row>
    <row r="529" ht="15.75" customHeight="1">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row>
    <row r="530" ht="15.75" customHeight="1">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c r="AB530" s="77"/>
      <c r="AC530" s="77"/>
      <c r="AD530" s="77"/>
      <c r="AE530" s="77"/>
      <c r="AF530" s="77"/>
      <c r="AG530" s="77"/>
      <c r="AH530" s="77"/>
      <c r="AI530" s="77"/>
      <c r="AJ530" s="77"/>
      <c r="AK530" s="77"/>
      <c r="AL530" s="77"/>
      <c r="AM530" s="77"/>
      <c r="AN530" s="77"/>
      <c r="AO530" s="77"/>
      <c r="AP530" s="77"/>
      <c r="AQ530" s="77"/>
      <c r="AR530" s="77"/>
    </row>
    <row r="531" ht="15.75" customHeight="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c r="AB531" s="77"/>
      <c r="AC531" s="77"/>
      <c r="AD531" s="77"/>
      <c r="AE531" s="77"/>
      <c r="AF531" s="77"/>
      <c r="AG531" s="77"/>
      <c r="AH531" s="77"/>
      <c r="AI531" s="77"/>
      <c r="AJ531" s="77"/>
      <c r="AK531" s="77"/>
      <c r="AL531" s="77"/>
      <c r="AM531" s="77"/>
      <c r="AN531" s="77"/>
      <c r="AO531" s="77"/>
      <c r="AP531" s="77"/>
      <c r="AQ531" s="77"/>
      <c r="AR531" s="77"/>
    </row>
    <row r="532" ht="15.75" customHeight="1">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c r="AB532" s="77"/>
      <c r="AC532" s="77"/>
      <c r="AD532" s="77"/>
      <c r="AE532" s="77"/>
      <c r="AF532" s="77"/>
      <c r="AG532" s="77"/>
      <c r="AH532" s="77"/>
      <c r="AI532" s="77"/>
      <c r="AJ532" s="77"/>
      <c r="AK532" s="77"/>
      <c r="AL532" s="77"/>
      <c r="AM532" s="77"/>
      <c r="AN532" s="77"/>
      <c r="AO532" s="77"/>
      <c r="AP532" s="77"/>
      <c r="AQ532" s="77"/>
      <c r="AR532" s="77"/>
    </row>
    <row r="533" ht="15.75" customHeight="1">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c r="AB533" s="77"/>
      <c r="AC533" s="77"/>
      <c r="AD533" s="77"/>
      <c r="AE533" s="77"/>
      <c r="AF533" s="77"/>
      <c r="AG533" s="77"/>
      <c r="AH533" s="77"/>
      <c r="AI533" s="77"/>
      <c r="AJ533" s="77"/>
      <c r="AK533" s="77"/>
      <c r="AL533" s="77"/>
      <c r="AM533" s="77"/>
      <c r="AN533" s="77"/>
      <c r="AO533" s="77"/>
      <c r="AP533" s="77"/>
      <c r="AQ533" s="77"/>
      <c r="AR533" s="77"/>
    </row>
    <row r="534" ht="15.75" customHeight="1">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c r="AB534" s="77"/>
      <c r="AC534" s="77"/>
      <c r="AD534" s="77"/>
      <c r="AE534" s="77"/>
      <c r="AF534" s="77"/>
      <c r="AG534" s="77"/>
      <c r="AH534" s="77"/>
      <c r="AI534" s="77"/>
      <c r="AJ534" s="77"/>
      <c r="AK534" s="77"/>
      <c r="AL534" s="77"/>
      <c r="AM534" s="77"/>
      <c r="AN534" s="77"/>
      <c r="AO534" s="77"/>
      <c r="AP534" s="77"/>
      <c r="AQ534" s="77"/>
      <c r="AR534" s="77"/>
    </row>
    <row r="535" ht="15.75" customHeight="1">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c r="AB535" s="77"/>
      <c r="AC535" s="77"/>
      <c r="AD535" s="77"/>
      <c r="AE535" s="77"/>
      <c r="AF535" s="77"/>
      <c r="AG535" s="77"/>
      <c r="AH535" s="77"/>
      <c r="AI535" s="77"/>
      <c r="AJ535" s="77"/>
      <c r="AK535" s="77"/>
      <c r="AL535" s="77"/>
      <c r="AM535" s="77"/>
      <c r="AN535" s="77"/>
      <c r="AO535" s="77"/>
      <c r="AP535" s="77"/>
      <c r="AQ535" s="77"/>
      <c r="AR535" s="77"/>
    </row>
    <row r="536" ht="15.75" customHeight="1">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c r="AB536" s="77"/>
      <c r="AC536" s="77"/>
      <c r="AD536" s="77"/>
      <c r="AE536" s="77"/>
      <c r="AF536" s="77"/>
      <c r="AG536" s="77"/>
      <c r="AH536" s="77"/>
      <c r="AI536" s="77"/>
      <c r="AJ536" s="77"/>
      <c r="AK536" s="77"/>
      <c r="AL536" s="77"/>
      <c r="AM536" s="77"/>
      <c r="AN536" s="77"/>
      <c r="AO536" s="77"/>
      <c r="AP536" s="77"/>
      <c r="AQ536" s="77"/>
      <c r="AR536" s="77"/>
    </row>
    <row r="537" ht="15.75" customHeight="1">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c r="AB537" s="77"/>
      <c r="AC537" s="77"/>
      <c r="AD537" s="77"/>
      <c r="AE537" s="77"/>
      <c r="AF537" s="77"/>
      <c r="AG537" s="77"/>
      <c r="AH537" s="77"/>
      <c r="AI537" s="77"/>
      <c r="AJ537" s="77"/>
      <c r="AK537" s="77"/>
      <c r="AL537" s="77"/>
      <c r="AM537" s="77"/>
      <c r="AN537" s="77"/>
      <c r="AO537" s="77"/>
      <c r="AP537" s="77"/>
      <c r="AQ537" s="77"/>
      <c r="AR537" s="77"/>
    </row>
    <row r="538" ht="15.75" customHeight="1">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c r="AB538" s="77"/>
      <c r="AC538" s="77"/>
      <c r="AD538" s="77"/>
      <c r="AE538" s="77"/>
      <c r="AF538" s="77"/>
      <c r="AG538" s="77"/>
      <c r="AH538" s="77"/>
      <c r="AI538" s="77"/>
      <c r="AJ538" s="77"/>
      <c r="AK538" s="77"/>
      <c r="AL538" s="77"/>
      <c r="AM538" s="77"/>
      <c r="AN538" s="77"/>
      <c r="AO538" s="77"/>
      <c r="AP538" s="77"/>
      <c r="AQ538" s="77"/>
      <c r="AR538" s="77"/>
    </row>
    <row r="539" ht="15.75" customHeight="1">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c r="AB539" s="77"/>
      <c r="AC539" s="77"/>
      <c r="AD539" s="77"/>
      <c r="AE539" s="77"/>
      <c r="AF539" s="77"/>
      <c r="AG539" s="77"/>
      <c r="AH539" s="77"/>
      <c r="AI539" s="77"/>
      <c r="AJ539" s="77"/>
      <c r="AK539" s="77"/>
      <c r="AL539" s="77"/>
      <c r="AM539" s="77"/>
      <c r="AN539" s="77"/>
      <c r="AO539" s="77"/>
      <c r="AP539" s="77"/>
      <c r="AQ539" s="77"/>
      <c r="AR539" s="77"/>
    </row>
    <row r="540" ht="15.75" customHeight="1">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c r="AB540" s="77"/>
      <c r="AC540" s="77"/>
      <c r="AD540" s="77"/>
      <c r="AE540" s="77"/>
      <c r="AF540" s="77"/>
      <c r="AG540" s="77"/>
      <c r="AH540" s="77"/>
      <c r="AI540" s="77"/>
      <c r="AJ540" s="77"/>
      <c r="AK540" s="77"/>
      <c r="AL540" s="77"/>
      <c r="AM540" s="77"/>
      <c r="AN540" s="77"/>
      <c r="AO540" s="77"/>
      <c r="AP540" s="77"/>
      <c r="AQ540" s="77"/>
      <c r="AR540" s="77"/>
    </row>
    <row r="541" ht="15.75" customHeight="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c r="AB541" s="77"/>
      <c r="AC541" s="77"/>
      <c r="AD541" s="77"/>
      <c r="AE541" s="77"/>
      <c r="AF541" s="77"/>
      <c r="AG541" s="77"/>
      <c r="AH541" s="77"/>
      <c r="AI541" s="77"/>
      <c r="AJ541" s="77"/>
      <c r="AK541" s="77"/>
      <c r="AL541" s="77"/>
      <c r="AM541" s="77"/>
      <c r="AN541" s="77"/>
      <c r="AO541" s="77"/>
      <c r="AP541" s="77"/>
      <c r="AQ541" s="77"/>
      <c r="AR541" s="77"/>
    </row>
    <row r="542" ht="15.75" customHeight="1">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c r="AB542" s="77"/>
      <c r="AC542" s="77"/>
      <c r="AD542" s="77"/>
      <c r="AE542" s="77"/>
      <c r="AF542" s="77"/>
      <c r="AG542" s="77"/>
      <c r="AH542" s="77"/>
      <c r="AI542" s="77"/>
      <c r="AJ542" s="77"/>
      <c r="AK542" s="77"/>
      <c r="AL542" s="77"/>
      <c r="AM542" s="77"/>
      <c r="AN542" s="77"/>
      <c r="AO542" s="77"/>
      <c r="AP542" s="77"/>
      <c r="AQ542" s="77"/>
      <c r="AR542" s="77"/>
    </row>
    <row r="543" ht="15.75" customHeight="1">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c r="AB543" s="77"/>
      <c r="AC543" s="77"/>
      <c r="AD543" s="77"/>
      <c r="AE543" s="77"/>
      <c r="AF543" s="77"/>
      <c r="AG543" s="77"/>
      <c r="AH543" s="77"/>
      <c r="AI543" s="77"/>
      <c r="AJ543" s="77"/>
      <c r="AK543" s="77"/>
      <c r="AL543" s="77"/>
      <c r="AM543" s="77"/>
      <c r="AN543" s="77"/>
      <c r="AO543" s="77"/>
      <c r="AP543" s="77"/>
      <c r="AQ543" s="77"/>
      <c r="AR543" s="77"/>
    </row>
    <row r="544" ht="15.75" customHeight="1">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c r="AB544" s="77"/>
      <c r="AC544" s="77"/>
      <c r="AD544" s="77"/>
      <c r="AE544" s="77"/>
      <c r="AF544" s="77"/>
      <c r="AG544" s="77"/>
      <c r="AH544" s="77"/>
      <c r="AI544" s="77"/>
      <c r="AJ544" s="77"/>
      <c r="AK544" s="77"/>
      <c r="AL544" s="77"/>
      <c r="AM544" s="77"/>
      <c r="AN544" s="77"/>
      <c r="AO544" s="77"/>
      <c r="AP544" s="77"/>
      <c r="AQ544" s="77"/>
      <c r="AR544" s="77"/>
    </row>
    <row r="545" ht="15.75" customHeight="1">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c r="AB545" s="77"/>
      <c r="AC545" s="77"/>
      <c r="AD545" s="77"/>
      <c r="AE545" s="77"/>
      <c r="AF545" s="77"/>
      <c r="AG545" s="77"/>
      <c r="AH545" s="77"/>
      <c r="AI545" s="77"/>
      <c r="AJ545" s="77"/>
      <c r="AK545" s="77"/>
      <c r="AL545" s="77"/>
      <c r="AM545" s="77"/>
      <c r="AN545" s="77"/>
      <c r="AO545" s="77"/>
      <c r="AP545" s="77"/>
      <c r="AQ545" s="77"/>
      <c r="AR545" s="77"/>
    </row>
    <row r="546" ht="15.75" customHeight="1">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c r="AB546" s="77"/>
      <c r="AC546" s="77"/>
      <c r="AD546" s="77"/>
      <c r="AE546" s="77"/>
      <c r="AF546" s="77"/>
      <c r="AG546" s="77"/>
      <c r="AH546" s="77"/>
      <c r="AI546" s="77"/>
      <c r="AJ546" s="77"/>
      <c r="AK546" s="77"/>
      <c r="AL546" s="77"/>
      <c r="AM546" s="77"/>
      <c r="AN546" s="77"/>
      <c r="AO546" s="77"/>
      <c r="AP546" s="77"/>
      <c r="AQ546" s="77"/>
      <c r="AR546" s="77"/>
    </row>
    <row r="547" ht="15.75" customHeight="1">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c r="AB547" s="77"/>
      <c r="AC547" s="77"/>
      <c r="AD547" s="77"/>
      <c r="AE547" s="77"/>
      <c r="AF547" s="77"/>
      <c r="AG547" s="77"/>
      <c r="AH547" s="77"/>
      <c r="AI547" s="77"/>
      <c r="AJ547" s="77"/>
      <c r="AK547" s="77"/>
      <c r="AL547" s="77"/>
      <c r="AM547" s="77"/>
      <c r="AN547" s="77"/>
      <c r="AO547" s="77"/>
      <c r="AP547" s="77"/>
      <c r="AQ547" s="77"/>
      <c r="AR547" s="77"/>
    </row>
    <row r="548" ht="15.75" customHeight="1">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c r="AB548" s="77"/>
      <c r="AC548" s="77"/>
      <c r="AD548" s="77"/>
      <c r="AE548" s="77"/>
      <c r="AF548" s="77"/>
      <c r="AG548" s="77"/>
      <c r="AH548" s="77"/>
      <c r="AI548" s="77"/>
      <c r="AJ548" s="77"/>
      <c r="AK548" s="77"/>
      <c r="AL548" s="77"/>
      <c r="AM548" s="77"/>
      <c r="AN548" s="77"/>
      <c r="AO548" s="77"/>
      <c r="AP548" s="77"/>
      <c r="AQ548" s="77"/>
      <c r="AR548" s="77"/>
    </row>
    <row r="549" ht="15.75" customHeight="1">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c r="AB549" s="77"/>
      <c r="AC549" s="77"/>
      <c r="AD549" s="77"/>
      <c r="AE549" s="77"/>
      <c r="AF549" s="77"/>
      <c r="AG549" s="77"/>
      <c r="AH549" s="77"/>
      <c r="AI549" s="77"/>
      <c r="AJ549" s="77"/>
      <c r="AK549" s="77"/>
      <c r="AL549" s="77"/>
      <c r="AM549" s="77"/>
      <c r="AN549" s="77"/>
      <c r="AO549" s="77"/>
      <c r="AP549" s="77"/>
      <c r="AQ549" s="77"/>
      <c r="AR549" s="77"/>
    </row>
    <row r="550" ht="15.75" customHeight="1">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c r="AB550" s="77"/>
      <c r="AC550" s="77"/>
      <c r="AD550" s="77"/>
      <c r="AE550" s="77"/>
      <c r="AF550" s="77"/>
      <c r="AG550" s="77"/>
      <c r="AH550" s="77"/>
      <c r="AI550" s="77"/>
      <c r="AJ550" s="77"/>
      <c r="AK550" s="77"/>
      <c r="AL550" s="77"/>
      <c r="AM550" s="77"/>
      <c r="AN550" s="77"/>
      <c r="AO550" s="77"/>
      <c r="AP550" s="77"/>
      <c r="AQ550" s="77"/>
      <c r="AR550" s="77"/>
    </row>
    <row r="551" ht="15.75" customHeight="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c r="AB551" s="77"/>
      <c r="AC551" s="77"/>
      <c r="AD551" s="77"/>
      <c r="AE551" s="77"/>
      <c r="AF551" s="77"/>
      <c r="AG551" s="77"/>
      <c r="AH551" s="77"/>
      <c r="AI551" s="77"/>
      <c r="AJ551" s="77"/>
      <c r="AK551" s="77"/>
      <c r="AL551" s="77"/>
      <c r="AM551" s="77"/>
      <c r="AN551" s="77"/>
      <c r="AO551" s="77"/>
      <c r="AP551" s="77"/>
      <c r="AQ551" s="77"/>
      <c r="AR551" s="77"/>
    </row>
    <row r="552" ht="15.75" customHeight="1">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c r="AB552" s="77"/>
      <c r="AC552" s="77"/>
      <c r="AD552" s="77"/>
      <c r="AE552" s="77"/>
      <c r="AF552" s="77"/>
      <c r="AG552" s="77"/>
      <c r="AH552" s="77"/>
      <c r="AI552" s="77"/>
      <c r="AJ552" s="77"/>
      <c r="AK552" s="77"/>
      <c r="AL552" s="77"/>
      <c r="AM552" s="77"/>
      <c r="AN552" s="77"/>
      <c r="AO552" s="77"/>
      <c r="AP552" s="77"/>
      <c r="AQ552" s="77"/>
      <c r="AR552" s="77"/>
    </row>
    <row r="553" ht="15.75" customHeight="1">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c r="AH553" s="77"/>
      <c r="AI553" s="77"/>
      <c r="AJ553" s="77"/>
      <c r="AK553" s="77"/>
      <c r="AL553" s="77"/>
      <c r="AM553" s="77"/>
      <c r="AN553" s="77"/>
      <c r="AO553" s="77"/>
      <c r="AP553" s="77"/>
      <c r="AQ553" s="77"/>
      <c r="AR553" s="77"/>
    </row>
    <row r="554" ht="15.75" customHeight="1">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c r="AH554" s="77"/>
      <c r="AI554" s="77"/>
      <c r="AJ554" s="77"/>
      <c r="AK554" s="77"/>
      <c r="AL554" s="77"/>
      <c r="AM554" s="77"/>
      <c r="AN554" s="77"/>
      <c r="AO554" s="77"/>
      <c r="AP554" s="77"/>
      <c r="AQ554" s="77"/>
      <c r="AR554" s="77"/>
    </row>
    <row r="555" ht="15.75" customHeight="1">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c r="AB555" s="77"/>
      <c r="AC555" s="77"/>
      <c r="AD555" s="77"/>
      <c r="AE555" s="77"/>
      <c r="AF555" s="77"/>
      <c r="AG555" s="77"/>
      <c r="AH555" s="77"/>
      <c r="AI555" s="77"/>
      <c r="AJ555" s="77"/>
      <c r="AK555" s="77"/>
      <c r="AL555" s="77"/>
      <c r="AM555" s="77"/>
      <c r="AN555" s="77"/>
      <c r="AO555" s="77"/>
      <c r="AP555" s="77"/>
      <c r="AQ555" s="77"/>
      <c r="AR555" s="77"/>
    </row>
    <row r="556" ht="15.75" customHeight="1">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c r="AH556" s="77"/>
      <c r="AI556" s="77"/>
      <c r="AJ556" s="77"/>
      <c r="AK556" s="77"/>
      <c r="AL556" s="77"/>
      <c r="AM556" s="77"/>
      <c r="AN556" s="77"/>
      <c r="AO556" s="77"/>
      <c r="AP556" s="77"/>
      <c r="AQ556" s="77"/>
      <c r="AR556" s="77"/>
    </row>
    <row r="557" ht="15.75" customHeight="1">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c r="AB557" s="77"/>
      <c r="AC557" s="77"/>
      <c r="AD557" s="77"/>
      <c r="AE557" s="77"/>
      <c r="AF557" s="77"/>
      <c r="AG557" s="77"/>
      <c r="AH557" s="77"/>
      <c r="AI557" s="77"/>
      <c r="AJ557" s="77"/>
      <c r="AK557" s="77"/>
      <c r="AL557" s="77"/>
      <c r="AM557" s="77"/>
      <c r="AN557" s="77"/>
      <c r="AO557" s="77"/>
      <c r="AP557" s="77"/>
      <c r="AQ557" s="77"/>
      <c r="AR557" s="77"/>
    </row>
    <row r="558" ht="15.75" customHeight="1">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row>
    <row r="559" ht="15.75" customHeight="1">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c r="AB559" s="77"/>
      <c r="AC559" s="77"/>
      <c r="AD559" s="77"/>
      <c r="AE559" s="77"/>
      <c r="AF559" s="77"/>
      <c r="AG559" s="77"/>
      <c r="AH559" s="77"/>
      <c r="AI559" s="77"/>
      <c r="AJ559" s="77"/>
      <c r="AK559" s="77"/>
      <c r="AL559" s="77"/>
      <c r="AM559" s="77"/>
      <c r="AN559" s="77"/>
      <c r="AO559" s="77"/>
      <c r="AP559" s="77"/>
      <c r="AQ559" s="77"/>
      <c r="AR559" s="77"/>
    </row>
    <row r="560" ht="15.75" customHeight="1">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c r="AB560" s="77"/>
      <c r="AC560" s="77"/>
      <c r="AD560" s="77"/>
      <c r="AE560" s="77"/>
      <c r="AF560" s="77"/>
      <c r="AG560" s="77"/>
      <c r="AH560" s="77"/>
      <c r="AI560" s="77"/>
      <c r="AJ560" s="77"/>
      <c r="AK560" s="77"/>
      <c r="AL560" s="77"/>
      <c r="AM560" s="77"/>
      <c r="AN560" s="77"/>
      <c r="AO560" s="77"/>
      <c r="AP560" s="77"/>
      <c r="AQ560" s="77"/>
      <c r="AR560" s="77"/>
    </row>
    <row r="561" ht="15.75" customHeight="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c r="AB561" s="77"/>
      <c r="AC561" s="77"/>
      <c r="AD561" s="77"/>
      <c r="AE561" s="77"/>
      <c r="AF561" s="77"/>
      <c r="AG561" s="77"/>
      <c r="AH561" s="77"/>
      <c r="AI561" s="77"/>
      <c r="AJ561" s="77"/>
      <c r="AK561" s="77"/>
      <c r="AL561" s="77"/>
      <c r="AM561" s="77"/>
      <c r="AN561" s="77"/>
      <c r="AO561" s="77"/>
      <c r="AP561" s="77"/>
      <c r="AQ561" s="77"/>
      <c r="AR561" s="77"/>
    </row>
    <row r="562" ht="15.75" customHeight="1">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c r="AB562" s="77"/>
      <c r="AC562" s="77"/>
      <c r="AD562" s="77"/>
      <c r="AE562" s="77"/>
      <c r="AF562" s="77"/>
      <c r="AG562" s="77"/>
      <c r="AH562" s="77"/>
      <c r="AI562" s="77"/>
      <c r="AJ562" s="77"/>
      <c r="AK562" s="77"/>
      <c r="AL562" s="77"/>
      <c r="AM562" s="77"/>
      <c r="AN562" s="77"/>
      <c r="AO562" s="77"/>
      <c r="AP562" s="77"/>
      <c r="AQ562" s="77"/>
      <c r="AR562" s="77"/>
    </row>
    <row r="563" ht="15.75" customHeight="1">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c r="AB563" s="77"/>
      <c r="AC563" s="77"/>
      <c r="AD563" s="77"/>
      <c r="AE563" s="77"/>
      <c r="AF563" s="77"/>
      <c r="AG563" s="77"/>
      <c r="AH563" s="77"/>
      <c r="AI563" s="77"/>
      <c r="AJ563" s="77"/>
      <c r="AK563" s="77"/>
      <c r="AL563" s="77"/>
      <c r="AM563" s="77"/>
      <c r="AN563" s="77"/>
      <c r="AO563" s="77"/>
      <c r="AP563" s="77"/>
      <c r="AQ563" s="77"/>
      <c r="AR563" s="77"/>
    </row>
    <row r="564" ht="15.75" customHeight="1">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c r="AH564" s="77"/>
      <c r="AI564" s="77"/>
      <c r="AJ564" s="77"/>
      <c r="AK564" s="77"/>
      <c r="AL564" s="77"/>
      <c r="AM564" s="77"/>
      <c r="AN564" s="77"/>
      <c r="AO564" s="77"/>
      <c r="AP564" s="77"/>
      <c r="AQ564" s="77"/>
      <c r="AR564" s="77"/>
    </row>
    <row r="565" ht="15.75" customHeight="1">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c r="AH565" s="77"/>
      <c r="AI565" s="77"/>
      <c r="AJ565" s="77"/>
      <c r="AK565" s="77"/>
      <c r="AL565" s="77"/>
      <c r="AM565" s="77"/>
      <c r="AN565" s="77"/>
      <c r="AO565" s="77"/>
      <c r="AP565" s="77"/>
      <c r="AQ565" s="77"/>
      <c r="AR565" s="77"/>
    </row>
    <row r="566" ht="15.75" customHeight="1">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c r="AH566" s="77"/>
      <c r="AI566" s="77"/>
      <c r="AJ566" s="77"/>
      <c r="AK566" s="77"/>
      <c r="AL566" s="77"/>
      <c r="AM566" s="77"/>
      <c r="AN566" s="77"/>
      <c r="AO566" s="77"/>
      <c r="AP566" s="77"/>
      <c r="AQ566" s="77"/>
      <c r="AR566" s="77"/>
    </row>
    <row r="567" ht="15.75" customHeight="1">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c r="AB567" s="77"/>
      <c r="AC567" s="77"/>
      <c r="AD567" s="77"/>
      <c r="AE567" s="77"/>
      <c r="AF567" s="77"/>
      <c r="AG567" s="77"/>
      <c r="AH567" s="77"/>
      <c r="AI567" s="77"/>
      <c r="AJ567" s="77"/>
      <c r="AK567" s="77"/>
      <c r="AL567" s="77"/>
      <c r="AM567" s="77"/>
      <c r="AN567" s="77"/>
      <c r="AO567" s="77"/>
      <c r="AP567" s="77"/>
      <c r="AQ567" s="77"/>
      <c r="AR567" s="77"/>
    </row>
    <row r="568" ht="15.75" customHeight="1">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c r="AH568" s="77"/>
      <c r="AI568" s="77"/>
      <c r="AJ568" s="77"/>
      <c r="AK568" s="77"/>
      <c r="AL568" s="77"/>
      <c r="AM568" s="77"/>
      <c r="AN568" s="77"/>
      <c r="AO568" s="77"/>
      <c r="AP568" s="77"/>
      <c r="AQ568" s="77"/>
      <c r="AR568" s="77"/>
    </row>
    <row r="569" ht="15.75" customHeight="1">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c r="AB569" s="77"/>
      <c r="AC569" s="77"/>
      <c r="AD569" s="77"/>
      <c r="AE569" s="77"/>
      <c r="AF569" s="77"/>
      <c r="AG569" s="77"/>
      <c r="AH569" s="77"/>
      <c r="AI569" s="77"/>
      <c r="AJ569" s="77"/>
      <c r="AK569" s="77"/>
      <c r="AL569" s="77"/>
      <c r="AM569" s="77"/>
      <c r="AN569" s="77"/>
      <c r="AO569" s="77"/>
      <c r="AP569" s="77"/>
      <c r="AQ569" s="77"/>
      <c r="AR569" s="77"/>
    </row>
    <row r="570" ht="15.75" customHeight="1">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c r="AH570" s="77"/>
      <c r="AI570" s="77"/>
      <c r="AJ570" s="77"/>
      <c r="AK570" s="77"/>
      <c r="AL570" s="77"/>
      <c r="AM570" s="77"/>
      <c r="AN570" s="77"/>
      <c r="AO570" s="77"/>
      <c r="AP570" s="77"/>
      <c r="AQ570" s="77"/>
      <c r="AR570" s="77"/>
    </row>
    <row r="571" ht="15.75" customHeight="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c r="AB571" s="77"/>
      <c r="AC571" s="77"/>
      <c r="AD571" s="77"/>
      <c r="AE571" s="77"/>
      <c r="AF571" s="77"/>
      <c r="AG571" s="77"/>
      <c r="AH571" s="77"/>
      <c r="AI571" s="77"/>
      <c r="AJ571" s="77"/>
      <c r="AK571" s="77"/>
      <c r="AL571" s="77"/>
      <c r="AM571" s="77"/>
      <c r="AN571" s="77"/>
      <c r="AO571" s="77"/>
      <c r="AP571" s="77"/>
      <c r="AQ571" s="77"/>
      <c r="AR571" s="77"/>
    </row>
    <row r="572" ht="15.75" customHeight="1">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c r="AB572" s="77"/>
      <c r="AC572" s="77"/>
      <c r="AD572" s="77"/>
      <c r="AE572" s="77"/>
      <c r="AF572" s="77"/>
      <c r="AG572" s="77"/>
      <c r="AH572" s="77"/>
      <c r="AI572" s="77"/>
      <c r="AJ572" s="77"/>
      <c r="AK572" s="77"/>
      <c r="AL572" s="77"/>
      <c r="AM572" s="77"/>
      <c r="AN572" s="77"/>
      <c r="AO572" s="77"/>
      <c r="AP572" s="77"/>
      <c r="AQ572" s="77"/>
      <c r="AR572" s="77"/>
    </row>
    <row r="573" ht="15.75" customHeight="1">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c r="AB573" s="77"/>
      <c r="AC573" s="77"/>
      <c r="AD573" s="77"/>
      <c r="AE573" s="77"/>
      <c r="AF573" s="77"/>
      <c r="AG573" s="77"/>
      <c r="AH573" s="77"/>
      <c r="AI573" s="77"/>
      <c r="AJ573" s="77"/>
      <c r="AK573" s="77"/>
      <c r="AL573" s="77"/>
      <c r="AM573" s="77"/>
      <c r="AN573" s="77"/>
      <c r="AO573" s="77"/>
      <c r="AP573" s="77"/>
      <c r="AQ573" s="77"/>
      <c r="AR573" s="77"/>
    </row>
    <row r="574" ht="15.75" customHeight="1">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c r="AB574" s="77"/>
      <c r="AC574" s="77"/>
      <c r="AD574" s="77"/>
      <c r="AE574" s="77"/>
      <c r="AF574" s="77"/>
      <c r="AG574" s="77"/>
      <c r="AH574" s="77"/>
      <c r="AI574" s="77"/>
      <c r="AJ574" s="77"/>
      <c r="AK574" s="77"/>
      <c r="AL574" s="77"/>
      <c r="AM574" s="77"/>
      <c r="AN574" s="77"/>
      <c r="AO574" s="77"/>
      <c r="AP574" s="77"/>
      <c r="AQ574" s="77"/>
      <c r="AR574" s="77"/>
    </row>
    <row r="575" ht="15.75" customHeight="1">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c r="AB575" s="77"/>
      <c r="AC575" s="77"/>
      <c r="AD575" s="77"/>
      <c r="AE575" s="77"/>
      <c r="AF575" s="77"/>
      <c r="AG575" s="77"/>
      <c r="AH575" s="77"/>
      <c r="AI575" s="77"/>
      <c r="AJ575" s="77"/>
      <c r="AK575" s="77"/>
      <c r="AL575" s="77"/>
      <c r="AM575" s="77"/>
      <c r="AN575" s="77"/>
      <c r="AO575" s="77"/>
      <c r="AP575" s="77"/>
      <c r="AQ575" s="77"/>
      <c r="AR575" s="77"/>
    </row>
    <row r="576" ht="15.75" customHeight="1">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c r="AB576" s="77"/>
      <c r="AC576" s="77"/>
      <c r="AD576" s="77"/>
      <c r="AE576" s="77"/>
      <c r="AF576" s="77"/>
      <c r="AG576" s="77"/>
      <c r="AH576" s="77"/>
      <c r="AI576" s="77"/>
      <c r="AJ576" s="77"/>
      <c r="AK576" s="77"/>
      <c r="AL576" s="77"/>
      <c r="AM576" s="77"/>
      <c r="AN576" s="77"/>
      <c r="AO576" s="77"/>
      <c r="AP576" s="77"/>
      <c r="AQ576" s="77"/>
      <c r="AR576" s="77"/>
    </row>
    <row r="577" ht="15.75" customHeight="1">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c r="AB577" s="77"/>
      <c r="AC577" s="77"/>
      <c r="AD577" s="77"/>
      <c r="AE577" s="77"/>
      <c r="AF577" s="77"/>
      <c r="AG577" s="77"/>
      <c r="AH577" s="77"/>
      <c r="AI577" s="77"/>
      <c r="AJ577" s="77"/>
      <c r="AK577" s="77"/>
      <c r="AL577" s="77"/>
      <c r="AM577" s="77"/>
      <c r="AN577" s="77"/>
      <c r="AO577" s="77"/>
      <c r="AP577" s="77"/>
      <c r="AQ577" s="77"/>
      <c r="AR577" s="77"/>
    </row>
    <row r="578" ht="15.75" customHeight="1">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c r="AB578" s="77"/>
      <c r="AC578" s="77"/>
      <c r="AD578" s="77"/>
      <c r="AE578" s="77"/>
      <c r="AF578" s="77"/>
      <c r="AG578" s="77"/>
      <c r="AH578" s="77"/>
      <c r="AI578" s="77"/>
      <c r="AJ578" s="77"/>
      <c r="AK578" s="77"/>
      <c r="AL578" s="77"/>
      <c r="AM578" s="77"/>
      <c r="AN578" s="77"/>
      <c r="AO578" s="77"/>
      <c r="AP578" s="77"/>
      <c r="AQ578" s="77"/>
      <c r="AR578" s="77"/>
    </row>
    <row r="579" ht="15.75" customHeight="1">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c r="AB579" s="77"/>
      <c r="AC579" s="77"/>
      <c r="AD579" s="77"/>
      <c r="AE579" s="77"/>
      <c r="AF579" s="77"/>
      <c r="AG579" s="77"/>
      <c r="AH579" s="77"/>
      <c r="AI579" s="77"/>
      <c r="AJ579" s="77"/>
      <c r="AK579" s="77"/>
      <c r="AL579" s="77"/>
      <c r="AM579" s="77"/>
      <c r="AN579" s="77"/>
      <c r="AO579" s="77"/>
      <c r="AP579" s="77"/>
      <c r="AQ579" s="77"/>
      <c r="AR579" s="77"/>
    </row>
    <row r="580" ht="15.75" customHeight="1">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c r="AB580" s="77"/>
      <c r="AC580" s="77"/>
      <c r="AD580" s="77"/>
      <c r="AE580" s="77"/>
      <c r="AF580" s="77"/>
      <c r="AG580" s="77"/>
      <c r="AH580" s="77"/>
      <c r="AI580" s="77"/>
      <c r="AJ580" s="77"/>
      <c r="AK580" s="77"/>
      <c r="AL580" s="77"/>
      <c r="AM580" s="77"/>
      <c r="AN580" s="77"/>
      <c r="AO580" s="77"/>
      <c r="AP580" s="77"/>
      <c r="AQ580" s="77"/>
      <c r="AR580" s="77"/>
    </row>
    <row r="581" ht="15.75" customHeight="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c r="AB581" s="77"/>
      <c r="AC581" s="77"/>
      <c r="AD581" s="77"/>
      <c r="AE581" s="77"/>
      <c r="AF581" s="77"/>
      <c r="AG581" s="77"/>
      <c r="AH581" s="77"/>
      <c r="AI581" s="77"/>
      <c r="AJ581" s="77"/>
      <c r="AK581" s="77"/>
      <c r="AL581" s="77"/>
      <c r="AM581" s="77"/>
      <c r="AN581" s="77"/>
      <c r="AO581" s="77"/>
      <c r="AP581" s="77"/>
      <c r="AQ581" s="77"/>
      <c r="AR581" s="77"/>
    </row>
    <row r="582" ht="15.75" customHeight="1">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c r="AB582" s="77"/>
      <c r="AC582" s="77"/>
      <c r="AD582" s="77"/>
      <c r="AE582" s="77"/>
      <c r="AF582" s="77"/>
      <c r="AG582" s="77"/>
      <c r="AH582" s="77"/>
      <c r="AI582" s="77"/>
      <c r="AJ582" s="77"/>
      <c r="AK582" s="77"/>
      <c r="AL582" s="77"/>
      <c r="AM582" s="77"/>
      <c r="AN582" s="77"/>
      <c r="AO582" s="77"/>
      <c r="AP582" s="77"/>
      <c r="AQ582" s="77"/>
      <c r="AR582" s="77"/>
    </row>
    <row r="583" ht="15.75" customHeight="1">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c r="AB583" s="77"/>
      <c r="AC583" s="77"/>
      <c r="AD583" s="77"/>
      <c r="AE583" s="77"/>
      <c r="AF583" s="77"/>
      <c r="AG583" s="77"/>
      <c r="AH583" s="77"/>
      <c r="AI583" s="77"/>
      <c r="AJ583" s="77"/>
      <c r="AK583" s="77"/>
      <c r="AL583" s="77"/>
      <c r="AM583" s="77"/>
      <c r="AN583" s="77"/>
      <c r="AO583" s="77"/>
      <c r="AP583" s="77"/>
      <c r="AQ583" s="77"/>
      <c r="AR583" s="77"/>
    </row>
    <row r="584" ht="15.75" customHeight="1">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c r="AB584" s="77"/>
      <c r="AC584" s="77"/>
      <c r="AD584" s="77"/>
      <c r="AE584" s="77"/>
      <c r="AF584" s="77"/>
      <c r="AG584" s="77"/>
      <c r="AH584" s="77"/>
      <c r="AI584" s="77"/>
      <c r="AJ584" s="77"/>
      <c r="AK584" s="77"/>
      <c r="AL584" s="77"/>
      <c r="AM584" s="77"/>
      <c r="AN584" s="77"/>
      <c r="AO584" s="77"/>
      <c r="AP584" s="77"/>
      <c r="AQ584" s="77"/>
      <c r="AR584" s="77"/>
    </row>
    <row r="585" ht="15.75" customHeight="1">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c r="AB585" s="77"/>
      <c r="AC585" s="77"/>
      <c r="AD585" s="77"/>
      <c r="AE585" s="77"/>
      <c r="AF585" s="77"/>
      <c r="AG585" s="77"/>
      <c r="AH585" s="77"/>
      <c r="AI585" s="77"/>
      <c r="AJ585" s="77"/>
      <c r="AK585" s="77"/>
      <c r="AL585" s="77"/>
      <c r="AM585" s="77"/>
      <c r="AN585" s="77"/>
      <c r="AO585" s="77"/>
      <c r="AP585" s="77"/>
      <c r="AQ585" s="77"/>
      <c r="AR585" s="77"/>
    </row>
    <row r="586" ht="15.75" customHeight="1">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c r="AB586" s="77"/>
      <c r="AC586" s="77"/>
      <c r="AD586" s="77"/>
      <c r="AE586" s="77"/>
      <c r="AF586" s="77"/>
      <c r="AG586" s="77"/>
      <c r="AH586" s="77"/>
      <c r="AI586" s="77"/>
      <c r="AJ586" s="77"/>
      <c r="AK586" s="77"/>
      <c r="AL586" s="77"/>
      <c r="AM586" s="77"/>
      <c r="AN586" s="77"/>
      <c r="AO586" s="77"/>
      <c r="AP586" s="77"/>
      <c r="AQ586" s="77"/>
      <c r="AR586" s="77"/>
    </row>
    <row r="587" ht="15.75" customHeight="1">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c r="AB587" s="77"/>
      <c r="AC587" s="77"/>
      <c r="AD587" s="77"/>
      <c r="AE587" s="77"/>
      <c r="AF587" s="77"/>
      <c r="AG587" s="77"/>
      <c r="AH587" s="77"/>
      <c r="AI587" s="77"/>
      <c r="AJ587" s="77"/>
      <c r="AK587" s="77"/>
      <c r="AL587" s="77"/>
      <c r="AM587" s="77"/>
      <c r="AN587" s="77"/>
      <c r="AO587" s="77"/>
      <c r="AP587" s="77"/>
      <c r="AQ587" s="77"/>
      <c r="AR587" s="77"/>
    </row>
    <row r="588" ht="15.75" customHeight="1">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c r="AB588" s="77"/>
      <c r="AC588" s="77"/>
      <c r="AD588" s="77"/>
      <c r="AE588" s="77"/>
      <c r="AF588" s="77"/>
      <c r="AG588" s="77"/>
      <c r="AH588" s="77"/>
      <c r="AI588" s="77"/>
      <c r="AJ588" s="77"/>
      <c r="AK588" s="77"/>
      <c r="AL588" s="77"/>
      <c r="AM588" s="77"/>
      <c r="AN588" s="77"/>
      <c r="AO588" s="77"/>
      <c r="AP588" s="77"/>
      <c r="AQ588" s="77"/>
      <c r="AR588" s="77"/>
    </row>
    <row r="589" ht="15.75" customHeight="1">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c r="AB589" s="77"/>
      <c r="AC589" s="77"/>
      <c r="AD589" s="77"/>
      <c r="AE589" s="77"/>
      <c r="AF589" s="77"/>
      <c r="AG589" s="77"/>
      <c r="AH589" s="77"/>
      <c r="AI589" s="77"/>
      <c r="AJ589" s="77"/>
      <c r="AK589" s="77"/>
      <c r="AL589" s="77"/>
      <c r="AM589" s="77"/>
      <c r="AN589" s="77"/>
      <c r="AO589" s="77"/>
      <c r="AP589" s="77"/>
      <c r="AQ589" s="77"/>
      <c r="AR589" s="77"/>
    </row>
    <row r="590" ht="15.75" customHeight="1">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c r="AB590" s="77"/>
      <c r="AC590" s="77"/>
      <c r="AD590" s="77"/>
      <c r="AE590" s="77"/>
      <c r="AF590" s="77"/>
      <c r="AG590" s="77"/>
      <c r="AH590" s="77"/>
      <c r="AI590" s="77"/>
      <c r="AJ590" s="77"/>
      <c r="AK590" s="77"/>
      <c r="AL590" s="77"/>
      <c r="AM590" s="77"/>
      <c r="AN590" s="77"/>
      <c r="AO590" s="77"/>
      <c r="AP590" s="77"/>
      <c r="AQ590" s="77"/>
      <c r="AR590" s="77"/>
    </row>
    <row r="591" ht="15.75" customHeight="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c r="AB591" s="77"/>
      <c r="AC591" s="77"/>
      <c r="AD591" s="77"/>
      <c r="AE591" s="77"/>
      <c r="AF591" s="77"/>
      <c r="AG591" s="77"/>
      <c r="AH591" s="77"/>
      <c r="AI591" s="77"/>
      <c r="AJ591" s="77"/>
      <c r="AK591" s="77"/>
      <c r="AL591" s="77"/>
      <c r="AM591" s="77"/>
      <c r="AN591" s="77"/>
      <c r="AO591" s="77"/>
      <c r="AP591" s="77"/>
      <c r="AQ591" s="77"/>
      <c r="AR591" s="77"/>
    </row>
    <row r="592" ht="15.75" customHeight="1">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c r="AB592" s="77"/>
      <c r="AC592" s="77"/>
      <c r="AD592" s="77"/>
      <c r="AE592" s="77"/>
      <c r="AF592" s="77"/>
      <c r="AG592" s="77"/>
      <c r="AH592" s="77"/>
      <c r="AI592" s="77"/>
      <c r="AJ592" s="77"/>
      <c r="AK592" s="77"/>
      <c r="AL592" s="77"/>
      <c r="AM592" s="77"/>
      <c r="AN592" s="77"/>
      <c r="AO592" s="77"/>
      <c r="AP592" s="77"/>
      <c r="AQ592" s="77"/>
      <c r="AR592" s="77"/>
    </row>
    <row r="593" ht="15.75" customHeight="1">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c r="AB593" s="77"/>
      <c r="AC593" s="77"/>
      <c r="AD593" s="77"/>
      <c r="AE593" s="77"/>
      <c r="AF593" s="77"/>
      <c r="AG593" s="77"/>
      <c r="AH593" s="77"/>
      <c r="AI593" s="77"/>
      <c r="AJ593" s="77"/>
      <c r="AK593" s="77"/>
      <c r="AL593" s="77"/>
      <c r="AM593" s="77"/>
      <c r="AN593" s="77"/>
      <c r="AO593" s="77"/>
      <c r="AP593" s="77"/>
      <c r="AQ593" s="77"/>
      <c r="AR593" s="77"/>
    </row>
    <row r="594" ht="15.75" customHeight="1">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c r="AB594" s="77"/>
      <c r="AC594" s="77"/>
      <c r="AD594" s="77"/>
      <c r="AE594" s="77"/>
      <c r="AF594" s="77"/>
      <c r="AG594" s="77"/>
      <c r="AH594" s="77"/>
      <c r="AI594" s="77"/>
      <c r="AJ594" s="77"/>
      <c r="AK594" s="77"/>
      <c r="AL594" s="77"/>
      <c r="AM594" s="77"/>
      <c r="AN594" s="77"/>
      <c r="AO594" s="77"/>
      <c r="AP594" s="77"/>
      <c r="AQ594" s="77"/>
      <c r="AR594" s="77"/>
    </row>
    <row r="595" ht="15.75" customHeight="1">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c r="AB595" s="77"/>
      <c r="AC595" s="77"/>
      <c r="AD595" s="77"/>
      <c r="AE595" s="77"/>
      <c r="AF595" s="77"/>
      <c r="AG595" s="77"/>
      <c r="AH595" s="77"/>
      <c r="AI595" s="77"/>
      <c r="AJ595" s="77"/>
      <c r="AK595" s="77"/>
      <c r="AL595" s="77"/>
      <c r="AM595" s="77"/>
      <c r="AN595" s="77"/>
      <c r="AO595" s="77"/>
      <c r="AP595" s="77"/>
      <c r="AQ595" s="77"/>
      <c r="AR595" s="77"/>
    </row>
    <row r="596" ht="15.75" customHeight="1">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c r="AH596" s="77"/>
      <c r="AI596" s="77"/>
      <c r="AJ596" s="77"/>
      <c r="AK596" s="77"/>
      <c r="AL596" s="77"/>
      <c r="AM596" s="77"/>
      <c r="AN596" s="77"/>
      <c r="AO596" s="77"/>
      <c r="AP596" s="77"/>
      <c r="AQ596" s="77"/>
      <c r="AR596" s="77"/>
    </row>
    <row r="597" ht="15.75" customHeight="1">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c r="AB597" s="77"/>
      <c r="AC597" s="77"/>
      <c r="AD597" s="77"/>
      <c r="AE597" s="77"/>
      <c r="AF597" s="77"/>
      <c r="AG597" s="77"/>
      <c r="AH597" s="77"/>
      <c r="AI597" s="77"/>
      <c r="AJ597" s="77"/>
      <c r="AK597" s="77"/>
      <c r="AL597" s="77"/>
      <c r="AM597" s="77"/>
      <c r="AN597" s="77"/>
      <c r="AO597" s="77"/>
      <c r="AP597" s="77"/>
      <c r="AQ597" s="77"/>
      <c r="AR597" s="77"/>
    </row>
    <row r="598" ht="15.75" customHeight="1">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c r="AH598" s="77"/>
      <c r="AI598" s="77"/>
      <c r="AJ598" s="77"/>
      <c r="AK598" s="77"/>
      <c r="AL598" s="77"/>
      <c r="AM598" s="77"/>
      <c r="AN598" s="77"/>
      <c r="AO598" s="77"/>
      <c r="AP598" s="77"/>
      <c r="AQ598" s="77"/>
      <c r="AR598" s="77"/>
    </row>
    <row r="599" ht="15.75" customHeight="1">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c r="AB599" s="77"/>
      <c r="AC599" s="77"/>
      <c r="AD599" s="77"/>
      <c r="AE599" s="77"/>
      <c r="AF599" s="77"/>
      <c r="AG599" s="77"/>
      <c r="AH599" s="77"/>
      <c r="AI599" s="77"/>
      <c r="AJ599" s="77"/>
      <c r="AK599" s="77"/>
      <c r="AL599" s="77"/>
      <c r="AM599" s="77"/>
      <c r="AN599" s="77"/>
      <c r="AO599" s="77"/>
      <c r="AP599" s="77"/>
      <c r="AQ599" s="77"/>
      <c r="AR599" s="77"/>
    </row>
    <row r="600" ht="15.75" customHeight="1">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c r="AB600" s="77"/>
      <c r="AC600" s="77"/>
      <c r="AD600" s="77"/>
      <c r="AE600" s="77"/>
      <c r="AF600" s="77"/>
      <c r="AG600" s="77"/>
      <c r="AH600" s="77"/>
      <c r="AI600" s="77"/>
      <c r="AJ600" s="77"/>
      <c r="AK600" s="77"/>
      <c r="AL600" s="77"/>
      <c r="AM600" s="77"/>
      <c r="AN600" s="77"/>
      <c r="AO600" s="77"/>
      <c r="AP600" s="77"/>
      <c r="AQ600" s="77"/>
      <c r="AR600" s="77"/>
    </row>
    <row r="601" ht="15.75" customHeight="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c r="AH601" s="77"/>
      <c r="AI601" s="77"/>
      <c r="AJ601" s="77"/>
      <c r="AK601" s="77"/>
      <c r="AL601" s="77"/>
      <c r="AM601" s="77"/>
      <c r="AN601" s="77"/>
      <c r="AO601" s="77"/>
      <c r="AP601" s="77"/>
      <c r="AQ601" s="77"/>
      <c r="AR601" s="77"/>
    </row>
    <row r="602" ht="15.75" customHeight="1">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c r="AB602" s="77"/>
      <c r="AC602" s="77"/>
      <c r="AD602" s="77"/>
      <c r="AE602" s="77"/>
      <c r="AF602" s="77"/>
      <c r="AG602" s="77"/>
      <c r="AH602" s="77"/>
      <c r="AI602" s="77"/>
      <c r="AJ602" s="77"/>
      <c r="AK602" s="77"/>
      <c r="AL602" s="77"/>
      <c r="AM602" s="77"/>
      <c r="AN602" s="77"/>
      <c r="AO602" s="77"/>
      <c r="AP602" s="77"/>
      <c r="AQ602" s="77"/>
      <c r="AR602" s="77"/>
    </row>
    <row r="603" ht="15.75" customHeight="1">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c r="AB603" s="77"/>
      <c r="AC603" s="77"/>
      <c r="AD603" s="77"/>
      <c r="AE603" s="77"/>
      <c r="AF603" s="77"/>
      <c r="AG603" s="77"/>
      <c r="AH603" s="77"/>
      <c r="AI603" s="77"/>
      <c r="AJ603" s="77"/>
      <c r="AK603" s="77"/>
      <c r="AL603" s="77"/>
      <c r="AM603" s="77"/>
      <c r="AN603" s="77"/>
      <c r="AO603" s="77"/>
      <c r="AP603" s="77"/>
      <c r="AQ603" s="77"/>
      <c r="AR603" s="77"/>
    </row>
    <row r="604" ht="15.75" customHeight="1">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c r="AB604" s="77"/>
      <c r="AC604" s="77"/>
      <c r="AD604" s="77"/>
      <c r="AE604" s="77"/>
      <c r="AF604" s="77"/>
      <c r="AG604" s="77"/>
      <c r="AH604" s="77"/>
      <c r="AI604" s="77"/>
      <c r="AJ604" s="77"/>
      <c r="AK604" s="77"/>
      <c r="AL604" s="77"/>
      <c r="AM604" s="77"/>
      <c r="AN604" s="77"/>
      <c r="AO604" s="77"/>
      <c r="AP604" s="77"/>
      <c r="AQ604" s="77"/>
      <c r="AR604" s="77"/>
    </row>
    <row r="605" ht="15.75" customHeight="1">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c r="AB605" s="77"/>
      <c r="AC605" s="77"/>
      <c r="AD605" s="77"/>
      <c r="AE605" s="77"/>
      <c r="AF605" s="77"/>
      <c r="AG605" s="77"/>
      <c r="AH605" s="77"/>
      <c r="AI605" s="77"/>
      <c r="AJ605" s="77"/>
      <c r="AK605" s="77"/>
      <c r="AL605" s="77"/>
      <c r="AM605" s="77"/>
      <c r="AN605" s="77"/>
      <c r="AO605" s="77"/>
      <c r="AP605" s="77"/>
      <c r="AQ605" s="77"/>
      <c r="AR605" s="77"/>
    </row>
    <row r="606" ht="15.75" customHeight="1">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c r="AB606" s="77"/>
      <c r="AC606" s="77"/>
      <c r="AD606" s="77"/>
      <c r="AE606" s="77"/>
      <c r="AF606" s="77"/>
      <c r="AG606" s="77"/>
      <c r="AH606" s="77"/>
      <c r="AI606" s="77"/>
      <c r="AJ606" s="77"/>
      <c r="AK606" s="77"/>
      <c r="AL606" s="77"/>
      <c r="AM606" s="77"/>
      <c r="AN606" s="77"/>
      <c r="AO606" s="77"/>
      <c r="AP606" s="77"/>
      <c r="AQ606" s="77"/>
      <c r="AR606" s="77"/>
    </row>
    <row r="607" ht="15.75" customHeight="1">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c r="AB607" s="77"/>
      <c r="AC607" s="77"/>
      <c r="AD607" s="77"/>
      <c r="AE607" s="77"/>
      <c r="AF607" s="77"/>
      <c r="AG607" s="77"/>
      <c r="AH607" s="77"/>
      <c r="AI607" s="77"/>
      <c r="AJ607" s="77"/>
      <c r="AK607" s="77"/>
      <c r="AL607" s="77"/>
      <c r="AM607" s="77"/>
      <c r="AN607" s="77"/>
      <c r="AO607" s="77"/>
      <c r="AP607" s="77"/>
      <c r="AQ607" s="77"/>
      <c r="AR607" s="77"/>
    </row>
    <row r="608" ht="15.75" customHeight="1">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c r="AB608" s="77"/>
      <c r="AC608" s="77"/>
      <c r="AD608" s="77"/>
      <c r="AE608" s="77"/>
      <c r="AF608" s="77"/>
      <c r="AG608" s="77"/>
      <c r="AH608" s="77"/>
      <c r="AI608" s="77"/>
      <c r="AJ608" s="77"/>
      <c r="AK608" s="77"/>
      <c r="AL608" s="77"/>
      <c r="AM608" s="77"/>
      <c r="AN608" s="77"/>
      <c r="AO608" s="77"/>
      <c r="AP608" s="77"/>
      <c r="AQ608" s="77"/>
      <c r="AR608" s="77"/>
    </row>
    <row r="609" ht="15.75" customHeight="1">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c r="AB609" s="77"/>
      <c r="AC609" s="77"/>
      <c r="AD609" s="77"/>
      <c r="AE609" s="77"/>
      <c r="AF609" s="77"/>
      <c r="AG609" s="77"/>
      <c r="AH609" s="77"/>
      <c r="AI609" s="77"/>
      <c r="AJ609" s="77"/>
      <c r="AK609" s="77"/>
      <c r="AL609" s="77"/>
      <c r="AM609" s="77"/>
      <c r="AN609" s="77"/>
      <c r="AO609" s="77"/>
      <c r="AP609" s="77"/>
      <c r="AQ609" s="77"/>
      <c r="AR609" s="77"/>
    </row>
    <row r="610" ht="15.75" customHeight="1">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c r="AB610" s="77"/>
      <c r="AC610" s="77"/>
      <c r="AD610" s="77"/>
      <c r="AE610" s="77"/>
      <c r="AF610" s="77"/>
      <c r="AG610" s="77"/>
      <c r="AH610" s="77"/>
      <c r="AI610" s="77"/>
      <c r="AJ610" s="77"/>
      <c r="AK610" s="77"/>
      <c r="AL610" s="77"/>
      <c r="AM610" s="77"/>
      <c r="AN610" s="77"/>
      <c r="AO610" s="77"/>
      <c r="AP610" s="77"/>
      <c r="AQ610" s="77"/>
      <c r="AR610" s="77"/>
    </row>
    <row r="611" ht="15.75" customHeight="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c r="AB611" s="77"/>
      <c r="AC611" s="77"/>
      <c r="AD611" s="77"/>
      <c r="AE611" s="77"/>
      <c r="AF611" s="77"/>
      <c r="AG611" s="77"/>
      <c r="AH611" s="77"/>
      <c r="AI611" s="77"/>
      <c r="AJ611" s="77"/>
      <c r="AK611" s="77"/>
      <c r="AL611" s="77"/>
      <c r="AM611" s="77"/>
      <c r="AN611" s="77"/>
      <c r="AO611" s="77"/>
      <c r="AP611" s="77"/>
      <c r="AQ611" s="77"/>
      <c r="AR611" s="77"/>
    </row>
    <row r="612" ht="15.75" customHeight="1">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c r="AB612" s="77"/>
      <c r="AC612" s="77"/>
      <c r="AD612" s="77"/>
      <c r="AE612" s="77"/>
      <c r="AF612" s="77"/>
      <c r="AG612" s="77"/>
      <c r="AH612" s="77"/>
      <c r="AI612" s="77"/>
      <c r="AJ612" s="77"/>
      <c r="AK612" s="77"/>
      <c r="AL612" s="77"/>
      <c r="AM612" s="77"/>
      <c r="AN612" s="77"/>
      <c r="AO612" s="77"/>
      <c r="AP612" s="77"/>
      <c r="AQ612" s="77"/>
      <c r="AR612" s="77"/>
    </row>
    <row r="613" ht="15.75" customHeight="1">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c r="AB613" s="77"/>
      <c r="AC613" s="77"/>
      <c r="AD613" s="77"/>
      <c r="AE613" s="77"/>
      <c r="AF613" s="77"/>
      <c r="AG613" s="77"/>
      <c r="AH613" s="77"/>
      <c r="AI613" s="77"/>
      <c r="AJ613" s="77"/>
      <c r="AK613" s="77"/>
      <c r="AL613" s="77"/>
      <c r="AM613" s="77"/>
      <c r="AN613" s="77"/>
      <c r="AO613" s="77"/>
      <c r="AP613" s="77"/>
      <c r="AQ613" s="77"/>
      <c r="AR613" s="77"/>
    </row>
    <row r="614" ht="15.75" customHeight="1">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c r="AB614" s="77"/>
      <c r="AC614" s="77"/>
      <c r="AD614" s="77"/>
      <c r="AE614" s="77"/>
      <c r="AF614" s="77"/>
      <c r="AG614" s="77"/>
      <c r="AH614" s="77"/>
      <c r="AI614" s="77"/>
      <c r="AJ614" s="77"/>
      <c r="AK614" s="77"/>
      <c r="AL614" s="77"/>
      <c r="AM614" s="77"/>
      <c r="AN614" s="77"/>
      <c r="AO614" s="77"/>
      <c r="AP614" s="77"/>
      <c r="AQ614" s="77"/>
      <c r="AR614" s="77"/>
    </row>
    <row r="615" ht="15.75" customHeight="1">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c r="AB615" s="77"/>
      <c r="AC615" s="77"/>
      <c r="AD615" s="77"/>
      <c r="AE615" s="77"/>
      <c r="AF615" s="77"/>
      <c r="AG615" s="77"/>
      <c r="AH615" s="77"/>
      <c r="AI615" s="77"/>
      <c r="AJ615" s="77"/>
      <c r="AK615" s="77"/>
      <c r="AL615" s="77"/>
      <c r="AM615" s="77"/>
      <c r="AN615" s="77"/>
      <c r="AO615" s="77"/>
      <c r="AP615" s="77"/>
      <c r="AQ615" s="77"/>
      <c r="AR615" s="77"/>
    </row>
    <row r="616" ht="15.75" customHeight="1">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c r="AB616" s="77"/>
      <c r="AC616" s="77"/>
      <c r="AD616" s="77"/>
      <c r="AE616" s="77"/>
      <c r="AF616" s="77"/>
      <c r="AG616" s="77"/>
      <c r="AH616" s="77"/>
      <c r="AI616" s="77"/>
      <c r="AJ616" s="77"/>
      <c r="AK616" s="77"/>
      <c r="AL616" s="77"/>
      <c r="AM616" s="77"/>
      <c r="AN616" s="77"/>
      <c r="AO616" s="77"/>
      <c r="AP616" s="77"/>
      <c r="AQ616" s="77"/>
      <c r="AR616" s="77"/>
    </row>
    <row r="617" ht="15.75" customHeight="1">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c r="AB617" s="77"/>
      <c r="AC617" s="77"/>
      <c r="AD617" s="77"/>
      <c r="AE617" s="77"/>
      <c r="AF617" s="77"/>
      <c r="AG617" s="77"/>
      <c r="AH617" s="77"/>
      <c r="AI617" s="77"/>
      <c r="AJ617" s="77"/>
      <c r="AK617" s="77"/>
      <c r="AL617" s="77"/>
      <c r="AM617" s="77"/>
      <c r="AN617" s="77"/>
      <c r="AO617" s="77"/>
      <c r="AP617" s="77"/>
      <c r="AQ617" s="77"/>
      <c r="AR617" s="77"/>
    </row>
    <row r="618" ht="15.75" customHeight="1">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c r="AB618" s="77"/>
      <c r="AC618" s="77"/>
      <c r="AD618" s="77"/>
      <c r="AE618" s="77"/>
      <c r="AF618" s="77"/>
      <c r="AG618" s="77"/>
      <c r="AH618" s="77"/>
      <c r="AI618" s="77"/>
      <c r="AJ618" s="77"/>
      <c r="AK618" s="77"/>
      <c r="AL618" s="77"/>
      <c r="AM618" s="77"/>
      <c r="AN618" s="77"/>
      <c r="AO618" s="77"/>
      <c r="AP618" s="77"/>
      <c r="AQ618" s="77"/>
      <c r="AR618" s="77"/>
    </row>
    <row r="619" ht="15.75" customHeight="1">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c r="AB619" s="77"/>
      <c r="AC619" s="77"/>
      <c r="AD619" s="77"/>
      <c r="AE619" s="77"/>
      <c r="AF619" s="77"/>
      <c r="AG619" s="77"/>
      <c r="AH619" s="77"/>
      <c r="AI619" s="77"/>
      <c r="AJ619" s="77"/>
      <c r="AK619" s="77"/>
      <c r="AL619" s="77"/>
      <c r="AM619" s="77"/>
      <c r="AN619" s="77"/>
      <c r="AO619" s="77"/>
      <c r="AP619" s="77"/>
      <c r="AQ619" s="77"/>
      <c r="AR619" s="77"/>
    </row>
    <row r="620" ht="15.75" customHeight="1">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c r="AB620" s="77"/>
      <c r="AC620" s="77"/>
      <c r="AD620" s="77"/>
      <c r="AE620" s="77"/>
      <c r="AF620" s="77"/>
      <c r="AG620" s="77"/>
      <c r="AH620" s="77"/>
      <c r="AI620" s="77"/>
      <c r="AJ620" s="77"/>
      <c r="AK620" s="77"/>
      <c r="AL620" s="77"/>
      <c r="AM620" s="77"/>
      <c r="AN620" s="77"/>
      <c r="AO620" s="77"/>
      <c r="AP620" s="77"/>
      <c r="AQ620" s="77"/>
      <c r="AR620" s="77"/>
    </row>
    <row r="621" ht="15.75" customHeight="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c r="AB621" s="77"/>
      <c r="AC621" s="77"/>
      <c r="AD621" s="77"/>
      <c r="AE621" s="77"/>
      <c r="AF621" s="77"/>
      <c r="AG621" s="77"/>
      <c r="AH621" s="77"/>
      <c r="AI621" s="77"/>
      <c r="AJ621" s="77"/>
      <c r="AK621" s="77"/>
      <c r="AL621" s="77"/>
      <c r="AM621" s="77"/>
      <c r="AN621" s="77"/>
      <c r="AO621" s="77"/>
      <c r="AP621" s="77"/>
      <c r="AQ621" s="77"/>
      <c r="AR621" s="77"/>
    </row>
    <row r="622" ht="15.75" customHeight="1">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c r="AB622" s="77"/>
      <c r="AC622" s="77"/>
      <c r="AD622" s="77"/>
      <c r="AE622" s="77"/>
      <c r="AF622" s="77"/>
      <c r="AG622" s="77"/>
      <c r="AH622" s="77"/>
      <c r="AI622" s="77"/>
      <c r="AJ622" s="77"/>
      <c r="AK622" s="77"/>
      <c r="AL622" s="77"/>
      <c r="AM622" s="77"/>
      <c r="AN622" s="77"/>
      <c r="AO622" s="77"/>
      <c r="AP622" s="77"/>
      <c r="AQ622" s="77"/>
      <c r="AR622" s="77"/>
    </row>
    <row r="623" ht="15.75" customHeight="1">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c r="AB623" s="77"/>
      <c r="AC623" s="77"/>
      <c r="AD623" s="77"/>
      <c r="AE623" s="77"/>
      <c r="AF623" s="77"/>
      <c r="AG623" s="77"/>
      <c r="AH623" s="77"/>
      <c r="AI623" s="77"/>
      <c r="AJ623" s="77"/>
      <c r="AK623" s="77"/>
      <c r="AL623" s="77"/>
      <c r="AM623" s="77"/>
      <c r="AN623" s="77"/>
      <c r="AO623" s="77"/>
      <c r="AP623" s="77"/>
      <c r="AQ623" s="77"/>
      <c r="AR623" s="77"/>
    </row>
    <row r="624" ht="15.75" customHeight="1">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c r="AB624" s="77"/>
      <c r="AC624" s="77"/>
      <c r="AD624" s="77"/>
      <c r="AE624" s="77"/>
      <c r="AF624" s="77"/>
      <c r="AG624" s="77"/>
      <c r="AH624" s="77"/>
      <c r="AI624" s="77"/>
      <c r="AJ624" s="77"/>
      <c r="AK624" s="77"/>
      <c r="AL624" s="77"/>
      <c r="AM624" s="77"/>
      <c r="AN624" s="77"/>
      <c r="AO624" s="77"/>
      <c r="AP624" s="77"/>
      <c r="AQ624" s="77"/>
      <c r="AR624" s="77"/>
    </row>
    <row r="625" ht="15.75" customHeight="1">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c r="AB625" s="77"/>
      <c r="AC625" s="77"/>
      <c r="AD625" s="77"/>
      <c r="AE625" s="77"/>
      <c r="AF625" s="77"/>
      <c r="AG625" s="77"/>
      <c r="AH625" s="77"/>
      <c r="AI625" s="77"/>
      <c r="AJ625" s="77"/>
      <c r="AK625" s="77"/>
      <c r="AL625" s="77"/>
      <c r="AM625" s="77"/>
      <c r="AN625" s="77"/>
      <c r="AO625" s="77"/>
      <c r="AP625" s="77"/>
      <c r="AQ625" s="77"/>
      <c r="AR625" s="77"/>
    </row>
    <row r="626" ht="15.75" customHeight="1">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c r="AB626" s="77"/>
      <c r="AC626" s="77"/>
      <c r="AD626" s="77"/>
      <c r="AE626" s="77"/>
      <c r="AF626" s="77"/>
      <c r="AG626" s="77"/>
      <c r="AH626" s="77"/>
      <c r="AI626" s="77"/>
      <c r="AJ626" s="77"/>
      <c r="AK626" s="77"/>
      <c r="AL626" s="77"/>
      <c r="AM626" s="77"/>
      <c r="AN626" s="77"/>
      <c r="AO626" s="77"/>
      <c r="AP626" s="77"/>
      <c r="AQ626" s="77"/>
      <c r="AR626" s="77"/>
    </row>
    <row r="627" ht="15.75" customHeight="1">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c r="AB627" s="77"/>
      <c r="AC627" s="77"/>
      <c r="AD627" s="77"/>
      <c r="AE627" s="77"/>
      <c r="AF627" s="77"/>
      <c r="AG627" s="77"/>
      <c r="AH627" s="77"/>
      <c r="AI627" s="77"/>
      <c r="AJ627" s="77"/>
      <c r="AK627" s="77"/>
      <c r="AL627" s="77"/>
      <c r="AM627" s="77"/>
      <c r="AN627" s="77"/>
      <c r="AO627" s="77"/>
      <c r="AP627" s="77"/>
      <c r="AQ627" s="77"/>
      <c r="AR627" s="77"/>
    </row>
    <row r="628" ht="15.75" customHeight="1">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c r="AB628" s="77"/>
      <c r="AC628" s="77"/>
      <c r="AD628" s="77"/>
      <c r="AE628" s="77"/>
      <c r="AF628" s="77"/>
      <c r="AG628" s="77"/>
      <c r="AH628" s="77"/>
      <c r="AI628" s="77"/>
      <c r="AJ628" s="77"/>
      <c r="AK628" s="77"/>
      <c r="AL628" s="77"/>
      <c r="AM628" s="77"/>
      <c r="AN628" s="77"/>
      <c r="AO628" s="77"/>
      <c r="AP628" s="77"/>
      <c r="AQ628" s="77"/>
      <c r="AR628" s="77"/>
    </row>
    <row r="629" ht="15.75" customHeight="1">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c r="AB629" s="77"/>
      <c r="AC629" s="77"/>
      <c r="AD629" s="77"/>
      <c r="AE629" s="77"/>
      <c r="AF629" s="77"/>
      <c r="AG629" s="77"/>
      <c r="AH629" s="77"/>
      <c r="AI629" s="77"/>
      <c r="AJ629" s="77"/>
      <c r="AK629" s="77"/>
      <c r="AL629" s="77"/>
      <c r="AM629" s="77"/>
      <c r="AN629" s="77"/>
      <c r="AO629" s="77"/>
      <c r="AP629" s="77"/>
      <c r="AQ629" s="77"/>
      <c r="AR629" s="77"/>
    </row>
    <row r="630" ht="15.75" customHeight="1">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c r="AB630" s="77"/>
      <c r="AC630" s="77"/>
      <c r="AD630" s="77"/>
      <c r="AE630" s="77"/>
      <c r="AF630" s="77"/>
      <c r="AG630" s="77"/>
      <c r="AH630" s="77"/>
      <c r="AI630" s="77"/>
      <c r="AJ630" s="77"/>
      <c r="AK630" s="77"/>
      <c r="AL630" s="77"/>
      <c r="AM630" s="77"/>
      <c r="AN630" s="77"/>
      <c r="AO630" s="77"/>
      <c r="AP630" s="77"/>
      <c r="AQ630" s="77"/>
      <c r="AR630" s="77"/>
    </row>
    <row r="631" ht="15.75" customHeight="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c r="AB631" s="77"/>
      <c r="AC631" s="77"/>
      <c r="AD631" s="77"/>
      <c r="AE631" s="77"/>
      <c r="AF631" s="77"/>
      <c r="AG631" s="77"/>
      <c r="AH631" s="77"/>
      <c r="AI631" s="77"/>
      <c r="AJ631" s="77"/>
      <c r="AK631" s="77"/>
      <c r="AL631" s="77"/>
      <c r="AM631" s="77"/>
      <c r="AN631" s="77"/>
      <c r="AO631" s="77"/>
      <c r="AP631" s="77"/>
      <c r="AQ631" s="77"/>
      <c r="AR631" s="77"/>
    </row>
    <row r="632" ht="15.75" customHeight="1">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c r="AH632" s="77"/>
      <c r="AI632" s="77"/>
      <c r="AJ632" s="77"/>
      <c r="AK632" s="77"/>
      <c r="AL632" s="77"/>
      <c r="AM632" s="77"/>
      <c r="AN632" s="77"/>
      <c r="AO632" s="77"/>
      <c r="AP632" s="77"/>
      <c r="AQ632" s="77"/>
      <c r="AR632" s="77"/>
    </row>
    <row r="633" ht="15.75" customHeight="1">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c r="AB633" s="77"/>
      <c r="AC633" s="77"/>
      <c r="AD633" s="77"/>
      <c r="AE633" s="77"/>
      <c r="AF633" s="77"/>
      <c r="AG633" s="77"/>
      <c r="AH633" s="77"/>
      <c r="AI633" s="77"/>
      <c r="AJ633" s="77"/>
      <c r="AK633" s="77"/>
      <c r="AL633" s="77"/>
      <c r="AM633" s="77"/>
      <c r="AN633" s="77"/>
      <c r="AO633" s="77"/>
      <c r="AP633" s="77"/>
      <c r="AQ633" s="77"/>
      <c r="AR633" s="77"/>
    </row>
    <row r="634" ht="15.75" customHeight="1">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c r="AH634" s="77"/>
      <c r="AI634" s="77"/>
      <c r="AJ634" s="77"/>
      <c r="AK634" s="77"/>
      <c r="AL634" s="77"/>
      <c r="AM634" s="77"/>
      <c r="AN634" s="77"/>
      <c r="AO634" s="77"/>
      <c r="AP634" s="77"/>
      <c r="AQ634" s="77"/>
      <c r="AR634" s="77"/>
    </row>
    <row r="635" ht="15.75" customHeight="1">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7"/>
      <c r="AF635" s="77"/>
      <c r="AG635" s="77"/>
      <c r="AH635" s="77"/>
      <c r="AI635" s="77"/>
      <c r="AJ635" s="77"/>
      <c r="AK635" s="77"/>
      <c r="AL635" s="77"/>
      <c r="AM635" s="77"/>
      <c r="AN635" s="77"/>
      <c r="AO635" s="77"/>
      <c r="AP635" s="77"/>
      <c r="AQ635" s="77"/>
      <c r="AR635" s="77"/>
    </row>
    <row r="636" ht="15.75" customHeight="1">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c r="AB636" s="77"/>
      <c r="AC636" s="77"/>
      <c r="AD636" s="77"/>
      <c r="AE636" s="77"/>
      <c r="AF636" s="77"/>
      <c r="AG636" s="77"/>
      <c r="AH636" s="77"/>
      <c r="AI636" s="77"/>
      <c r="AJ636" s="77"/>
      <c r="AK636" s="77"/>
      <c r="AL636" s="77"/>
      <c r="AM636" s="77"/>
      <c r="AN636" s="77"/>
      <c r="AO636" s="77"/>
      <c r="AP636" s="77"/>
      <c r="AQ636" s="77"/>
      <c r="AR636" s="77"/>
    </row>
    <row r="637" ht="15.75" customHeight="1">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c r="AB637" s="77"/>
      <c r="AC637" s="77"/>
      <c r="AD637" s="77"/>
      <c r="AE637" s="77"/>
      <c r="AF637" s="77"/>
      <c r="AG637" s="77"/>
      <c r="AH637" s="77"/>
      <c r="AI637" s="77"/>
      <c r="AJ637" s="77"/>
      <c r="AK637" s="77"/>
      <c r="AL637" s="77"/>
      <c r="AM637" s="77"/>
      <c r="AN637" s="77"/>
      <c r="AO637" s="77"/>
      <c r="AP637" s="77"/>
      <c r="AQ637" s="77"/>
      <c r="AR637" s="77"/>
    </row>
    <row r="638" ht="15.75" customHeight="1">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c r="AB638" s="77"/>
      <c r="AC638" s="77"/>
      <c r="AD638" s="77"/>
      <c r="AE638" s="77"/>
      <c r="AF638" s="77"/>
      <c r="AG638" s="77"/>
      <c r="AH638" s="77"/>
      <c r="AI638" s="77"/>
      <c r="AJ638" s="77"/>
      <c r="AK638" s="77"/>
      <c r="AL638" s="77"/>
      <c r="AM638" s="77"/>
      <c r="AN638" s="77"/>
      <c r="AO638" s="77"/>
      <c r="AP638" s="77"/>
      <c r="AQ638" s="77"/>
      <c r="AR638" s="77"/>
    </row>
    <row r="639" ht="15.75" customHeight="1">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c r="AB639" s="77"/>
      <c r="AC639" s="77"/>
      <c r="AD639" s="77"/>
      <c r="AE639" s="77"/>
      <c r="AF639" s="77"/>
      <c r="AG639" s="77"/>
      <c r="AH639" s="77"/>
      <c r="AI639" s="77"/>
      <c r="AJ639" s="77"/>
      <c r="AK639" s="77"/>
      <c r="AL639" s="77"/>
      <c r="AM639" s="77"/>
      <c r="AN639" s="77"/>
      <c r="AO639" s="77"/>
      <c r="AP639" s="77"/>
      <c r="AQ639" s="77"/>
      <c r="AR639" s="77"/>
    </row>
    <row r="640" ht="15.75" customHeight="1">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c r="AB640" s="77"/>
      <c r="AC640" s="77"/>
      <c r="AD640" s="77"/>
      <c r="AE640" s="77"/>
      <c r="AF640" s="77"/>
      <c r="AG640" s="77"/>
      <c r="AH640" s="77"/>
      <c r="AI640" s="77"/>
      <c r="AJ640" s="77"/>
      <c r="AK640" s="77"/>
      <c r="AL640" s="77"/>
      <c r="AM640" s="77"/>
      <c r="AN640" s="77"/>
      <c r="AO640" s="77"/>
      <c r="AP640" s="77"/>
      <c r="AQ640" s="77"/>
      <c r="AR640" s="77"/>
    </row>
    <row r="641" ht="15.75" customHeight="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77"/>
      <c r="AQ641" s="77"/>
      <c r="AR641" s="77"/>
    </row>
    <row r="642" ht="15.75" customHeight="1">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c r="AB642" s="77"/>
      <c r="AC642" s="77"/>
      <c r="AD642" s="77"/>
      <c r="AE642" s="77"/>
      <c r="AF642" s="77"/>
      <c r="AG642" s="77"/>
      <c r="AH642" s="77"/>
      <c r="AI642" s="77"/>
      <c r="AJ642" s="77"/>
      <c r="AK642" s="77"/>
      <c r="AL642" s="77"/>
      <c r="AM642" s="77"/>
      <c r="AN642" s="77"/>
      <c r="AO642" s="77"/>
      <c r="AP642" s="77"/>
      <c r="AQ642" s="77"/>
      <c r="AR642" s="77"/>
    </row>
    <row r="643" ht="15.75" customHeight="1">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c r="AB643" s="77"/>
      <c r="AC643" s="77"/>
      <c r="AD643" s="77"/>
      <c r="AE643" s="77"/>
      <c r="AF643" s="77"/>
      <c r="AG643" s="77"/>
      <c r="AH643" s="77"/>
      <c r="AI643" s="77"/>
      <c r="AJ643" s="77"/>
      <c r="AK643" s="77"/>
      <c r="AL643" s="77"/>
      <c r="AM643" s="77"/>
      <c r="AN643" s="77"/>
      <c r="AO643" s="77"/>
      <c r="AP643" s="77"/>
      <c r="AQ643" s="77"/>
      <c r="AR643" s="77"/>
    </row>
    <row r="644" ht="15.75" customHeight="1">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c r="AB644" s="77"/>
      <c r="AC644" s="77"/>
      <c r="AD644" s="77"/>
      <c r="AE644" s="77"/>
      <c r="AF644" s="77"/>
      <c r="AG644" s="77"/>
      <c r="AH644" s="77"/>
      <c r="AI644" s="77"/>
      <c r="AJ644" s="77"/>
      <c r="AK644" s="77"/>
      <c r="AL644" s="77"/>
      <c r="AM644" s="77"/>
      <c r="AN644" s="77"/>
      <c r="AO644" s="77"/>
      <c r="AP644" s="77"/>
      <c r="AQ644" s="77"/>
      <c r="AR644" s="77"/>
    </row>
    <row r="645" ht="15.75" customHeight="1">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77"/>
      <c r="AJ645" s="77"/>
      <c r="AK645" s="77"/>
      <c r="AL645" s="77"/>
      <c r="AM645" s="77"/>
      <c r="AN645" s="77"/>
      <c r="AO645" s="77"/>
      <c r="AP645" s="77"/>
      <c r="AQ645" s="77"/>
      <c r="AR645" s="77"/>
    </row>
    <row r="646" ht="15.75" customHeight="1">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c r="AB646" s="77"/>
      <c r="AC646" s="77"/>
      <c r="AD646" s="77"/>
      <c r="AE646" s="77"/>
      <c r="AF646" s="77"/>
      <c r="AG646" s="77"/>
      <c r="AH646" s="77"/>
      <c r="AI646" s="77"/>
      <c r="AJ646" s="77"/>
      <c r="AK646" s="77"/>
      <c r="AL646" s="77"/>
      <c r="AM646" s="77"/>
      <c r="AN646" s="77"/>
      <c r="AO646" s="77"/>
      <c r="AP646" s="77"/>
      <c r="AQ646" s="77"/>
      <c r="AR646" s="77"/>
    </row>
    <row r="647" ht="15.75" customHeight="1">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c r="AB647" s="77"/>
      <c r="AC647" s="77"/>
      <c r="AD647" s="77"/>
      <c r="AE647" s="77"/>
      <c r="AF647" s="77"/>
      <c r="AG647" s="77"/>
      <c r="AH647" s="77"/>
      <c r="AI647" s="77"/>
      <c r="AJ647" s="77"/>
      <c r="AK647" s="77"/>
      <c r="AL647" s="77"/>
      <c r="AM647" s="77"/>
      <c r="AN647" s="77"/>
      <c r="AO647" s="77"/>
      <c r="AP647" s="77"/>
      <c r="AQ647" s="77"/>
      <c r="AR647" s="77"/>
    </row>
    <row r="648" ht="15.75" customHeight="1">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c r="AB648" s="77"/>
      <c r="AC648" s="77"/>
      <c r="AD648" s="77"/>
      <c r="AE648" s="77"/>
      <c r="AF648" s="77"/>
      <c r="AG648" s="77"/>
      <c r="AH648" s="77"/>
      <c r="AI648" s="77"/>
      <c r="AJ648" s="77"/>
      <c r="AK648" s="77"/>
      <c r="AL648" s="77"/>
      <c r="AM648" s="77"/>
      <c r="AN648" s="77"/>
      <c r="AO648" s="77"/>
      <c r="AP648" s="77"/>
      <c r="AQ648" s="77"/>
      <c r="AR648" s="77"/>
    </row>
    <row r="649" ht="15.75" customHeight="1">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c r="AB649" s="77"/>
      <c r="AC649" s="77"/>
      <c r="AD649" s="77"/>
      <c r="AE649" s="77"/>
      <c r="AF649" s="77"/>
      <c r="AG649" s="77"/>
      <c r="AH649" s="77"/>
      <c r="AI649" s="77"/>
      <c r="AJ649" s="77"/>
      <c r="AK649" s="77"/>
      <c r="AL649" s="77"/>
      <c r="AM649" s="77"/>
      <c r="AN649" s="77"/>
      <c r="AO649" s="77"/>
      <c r="AP649" s="77"/>
      <c r="AQ649" s="77"/>
      <c r="AR649" s="77"/>
    </row>
    <row r="650" ht="15.75" customHeight="1">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c r="AB650" s="77"/>
      <c r="AC650" s="77"/>
      <c r="AD650" s="77"/>
      <c r="AE650" s="77"/>
      <c r="AF650" s="77"/>
      <c r="AG650" s="77"/>
      <c r="AH650" s="77"/>
      <c r="AI650" s="77"/>
      <c r="AJ650" s="77"/>
      <c r="AK650" s="77"/>
      <c r="AL650" s="77"/>
      <c r="AM650" s="77"/>
      <c r="AN650" s="77"/>
      <c r="AO650" s="77"/>
      <c r="AP650" s="77"/>
      <c r="AQ650" s="77"/>
      <c r="AR650" s="77"/>
    </row>
    <row r="651" ht="15.75" customHeight="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c r="AB651" s="77"/>
      <c r="AC651" s="77"/>
      <c r="AD651" s="77"/>
      <c r="AE651" s="77"/>
      <c r="AF651" s="77"/>
      <c r="AG651" s="77"/>
      <c r="AH651" s="77"/>
      <c r="AI651" s="77"/>
      <c r="AJ651" s="77"/>
      <c r="AK651" s="77"/>
      <c r="AL651" s="77"/>
      <c r="AM651" s="77"/>
      <c r="AN651" s="77"/>
      <c r="AO651" s="77"/>
      <c r="AP651" s="77"/>
      <c r="AQ651" s="77"/>
      <c r="AR651" s="77"/>
    </row>
    <row r="652" ht="15.75" customHeight="1">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c r="AB652" s="77"/>
      <c r="AC652" s="77"/>
      <c r="AD652" s="77"/>
      <c r="AE652" s="77"/>
      <c r="AF652" s="77"/>
      <c r="AG652" s="77"/>
      <c r="AH652" s="77"/>
      <c r="AI652" s="77"/>
      <c r="AJ652" s="77"/>
      <c r="AK652" s="77"/>
      <c r="AL652" s="77"/>
      <c r="AM652" s="77"/>
      <c r="AN652" s="77"/>
      <c r="AO652" s="77"/>
      <c r="AP652" s="77"/>
      <c r="AQ652" s="77"/>
      <c r="AR652" s="77"/>
    </row>
    <row r="653" ht="15.75" customHeight="1">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c r="AB653" s="77"/>
      <c r="AC653" s="77"/>
      <c r="AD653" s="77"/>
      <c r="AE653" s="77"/>
      <c r="AF653" s="77"/>
      <c r="AG653" s="77"/>
      <c r="AH653" s="77"/>
      <c r="AI653" s="77"/>
      <c r="AJ653" s="77"/>
      <c r="AK653" s="77"/>
      <c r="AL653" s="77"/>
      <c r="AM653" s="77"/>
      <c r="AN653" s="77"/>
      <c r="AO653" s="77"/>
      <c r="AP653" s="77"/>
      <c r="AQ653" s="77"/>
      <c r="AR653" s="77"/>
    </row>
    <row r="654" ht="15.75" customHeight="1">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c r="AB654" s="77"/>
      <c r="AC654" s="77"/>
      <c r="AD654" s="77"/>
      <c r="AE654" s="77"/>
      <c r="AF654" s="77"/>
      <c r="AG654" s="77"/>
      <c r="AH654" s="77"/>
      <c r="AI654" s="77"/>
      <c r="AJ654" s="77"/>
      <c r="AK654" s="77"/>
      <c r="AL654" s="77"/>
      <c r="AM654" s="77"/>
      <c r="AN654" s="77"/>
      <c r="AO654" s="77"/>
      <c r="AP654" s="77"/>
      <c r="AQ654" s="77"/>
      <c r="AR654" s="77"/>
    </row>
    <row r="655" ht="15.75" customHeight="1">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c r="AB655" s="77"/>
      <c r="AC655" s="77"/>
      <c r="AD655" s="77"/>
      <c r="AE655" s="77"/>
      <c r="AF655" s="77"/>
      <c r="AG655" s="77"/>
      <c r="AH655" s="77"/>
      <c r="AI655" s="77"/>
      <c r="AJ655" s="77"/>
      <c r="AK655" s="77"/>
      <c r="AL655" s="77"/>
      <c r="AM655" s="77"/>
      <c r="AN655" s="77"/>
      <c r="AO655" s="77"/>
      <c r="AP655" s="77"/>
      <c r="AQ655" s="77"/>
      <c r="AR655" s="77"/>
    </row>
    <row r="656" ht="15.75" customHeight="1">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c r="AB656" s="77"/>
      <c r="AC656" s="77"/>
      <c r="AD656" s="77"/>
      <c r="AE656" s="77"/>
      <c r="AF656" s="77"/>
      <c r="AG656" s="77"/>
      <c r="AH656" s="77"/>
      <c r="AI656" s="77"/>
      <c r="AJ656" s="77"/>
      <c r="AK656" s="77"/>
      <c r="AL656" s="77"/>
      <c r="AM656" s="77"/>
      <c r="AN656" s="77"/>
      <c r="AO656" s="77"/>
      <c r="AP656" s="77"/>
      <c r="AQ656" s="77"/>
      <c r="AR656" s="77"/>
    </row>
    <row r="657" ht="15.75" customHeight="1">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77"/>
      <c r="AJ657" s="77"/>
      <c r="AK657" s="77"/>
      <c r="AL657" s="77"/>
      <c r="AM657" s="77"/>
      <c r="AN657" s="77"/>
      <c r="AO657" s="77"/>
      <c r="AP657" s="77"/>
      <c r="AQ657" s="77"/>
      <c r="AR657" s="77"/>
    </row>
    <row r="658" ht="15.75" customHeight="1">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c r="AB658" s="77"/>
      <c r="AC658" s="77"/>
      <c r="AD658" s="77"/>
      <c r="AE658" s="77"/>
      <c r="AF658" s="77"/>
      <c r="AG658" s="77"/>
      <c r="AH658" s="77"/>
      <c r="AI658" s="77"/>
      <c r="AJ658" s="77"/>
      <c r="AK658" s="77"/>
      <c r="AL658" s="77"/>
      <c r="AM658" s="77"/>
      <c r="AN658" s="77"/>
      <c r="AO658" s="77"/>
      <c r="AP658" s="77"/>
      <c r="AQ658" s="77"/>
      <c r="AR658" s="77"/>
    </row>
    <row r="659" ht="15.75" customHeight="1">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c r="AB659" s="77"/>
      <c r="AC659" s="77"/>
      <c r="AD659" s="77"/>
      <c r="AE659" s="77"/>
      <c r="AF659" s="77"/>
      <c r="AG659" s="77"/>
      <c r="AH659" s="77"/>
      <c r="AI659" s="77"/>
      <c r="AJ659" s="77"/>
      <c r="AK659" s="77"/>
      <c r="AL659" s="77"/>
      <c r="AM659" s="77"/>
      <c r="AN659" s="77"/>
      <c r="AO659" s="77"/>
      <c r="AP659" s="77"/>
      <c r="AQ659" s="77"/>
      <c r="AR659" s="77"/>
    </row>
    <row r="660" ht="15.75" customHeight="1">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c r="AB660" s="77"/>
      <c r="AC660" s="77"/>
      <c r="AD660" s="77"/>
      <c r="AE660" s="77"/>
      <c r="AF660" s="77"/>
      <c r="AG660" s="77"/>
      <c r="AH660" s="77"/>
      <c r="AI660" s="77"/>
      <c r="AJ660" s="77"/>
      <c r="AK660" s="77"/>
      <c r="AL660" s="77"/>
      <c r="AM660" s="77"/>
      <c r="AN660" s="77"/>
      <c r="AO660" s="77"/>
      <c r="AP660" s="77"/>
      <c r="AQ660" s="77"/>
      <c r="AR660" s="77"/>
    </row>
    <row r="661" ht="15.75" customHeight="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c r="AB661" s="77"/>
      <c r="AC661" s="77"/>
      <c r="AD661" s="77"/>
      <c r="AE661" s="77"/>
      <c r="AF661" s="77"/>
      <c r="AG661" s="77"/>
      <c r="AH661" s="77"/>
      <c r="AI661" s="77"/>
      <c r="AJ661" s="77"/>
      <c r="AK661" s="77"/>
      <c r="AL661" s="77"/>
      <c r="AM661" s="77"/>
      <c r="AN661" s="77"/>
      <c r="AO661" s="77"/>
      <c r="AP661" s="77"/>
      <c r="AQ661" s="77"/>
      <c r="AR661" s="77"/>
    </row>
    <row r="662" ht="15.75" customHeight="1">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c r="AB662" s="77"/>
      <c r="AC662" s="77"/>
      <c r="AD662" s="77"/>
      <c r="AE662" s="77"/>
      <c r="AF662" s="77"/>
      <c r="AG662" s="77"/>
      <c r="AH662" s="77"/>
      <c r="AI662" s="77"/>
      <c r="AJ662" s="77"/>
      <c r="AK662" s="77"/>
      <c r="AL662" s="77"/>
      <c r="AM662" s="77"/>
      <c r="AN662" s="77"/>
      <c r="AO662" s="77"/>
      <c r="AP662" s="77"/>
      <c r="AQ662" s="77"/>
      <c r="AR662" s="77"/>
    </row>
    <row r="663" ht="15.75" customHeight="1">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c r="AB663" s="77"/>
      <c r="AC663" s="77"/>
      <c r="AD663" s="77"/>
      <c r="AE663" s="77"/>
      <c r="AF663" s="77"/>
      <c r="AG663" s="77"/>
      <c r="AH663" s="77"/>
      <c r="AI663" s="77"/>
      <c r="AJ663" s="77"/>
      <c r="AK663" s="77"/>
      <c r="AL663" s="77"/>
      <c r="AM663" s="77"/>
      <c r="AN663" s="77"/>
      <c r="AO663" s="77"/>
      <c r="AP663" s="77"/>
      <c r="AQ663" s="77"/>
      <c r="AR663" s="77"/>
    </row>
    <row r="664" ht="15.75" customHeight="1">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c r="AB664" s="77"/>
      <c r="AC664" s="77"/>
      <c r="AD664" s="77"/>
      <c r="AE664" s="77"/>
      <c r="AF664" s="77"/>
      <c r="AG664" s="77"/>
      <c r="AH664" s="77"/>
      <c r="AI664" s="77"/>
      <c r="AJ664" s="77"/>
      <c r="AK664" s="77"/>
      <c r="AL664" s="77"/>
      <c r="AM664" s="77"/>
      <c r="AN664" s="77"/>
      <c r="AO664" s="77"/>
      <c r="AP664" s="77"/>
      <c r="AQ664" s="77"/>
      <c r="AR664" s="77"/>
    </row>
    <row r="665" ht="15.75" customHeight="1">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c r="AB665" s="77"/>
      <c r="AC665" s="77"/>
      <c r="AD665" s="77"/>
      <c r="AE665" s="77"/>
      <c r="AF665" s="77"/>
      <c r="AG665" s="77"/>
      <c r="AH665" s="77"/>
      <c r="AI665" s="77"/>
      <c r="AJ665" s="77"/>
      <c r="AK665" s="77"/>
      <c r="AL665" s="77"/>
      <c r="AM665" s="77"/>
      <c r="AN665" s="77"/>
      <c r="AO665" s="77"/>
      <c r="AP665" s="77"/>
      <c r="AQ665" s="77"/>
      <c r="AR665" s="77"/>
    </row>
    <row r="666" ht="15.75" customHeight="1">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c r="AB666" s="77"/>
      <c r="AC666" s="77"/>
      <c r="AD666" s="77"/>
      <c r="AE666" s="77"/>
      <c r="AF666" s="77"/>
      <c r="AG666" s="77"/>
      <c r="AH666" s="77"/>
      <c r="AI666" s="77"/>
      <c r="AJ666" s="77"/>
      <c r="AK666" s="77"/>
      <c r="AL666" s="77"/>
      <c r="AM666" s="77"/>
      <c r="AN666" s="77"/>
      <c r="AO666" s="77"/>
      <c r="AP666" s="77"/>
      <c r="AQ666" s="77"/>
      <c r="AR666" s="77"/>
    </row>
    <row r="667" ht="15.75" customHeight="1">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c r="AB667" s="77"/>
      <c r="AC667" s="77"/>
      <c r="AD667" s="77"/>
      <c r="AE667" s="77"/>
      <c r="AF667" s="77"/>
      <c r="AG667" s="77"/>
      <c r="AH667" s="77"/>
      <c r="AI667" s="77"/>
      <c r="AJ667" s="77"/>
      <c r="AK667" s="77"/>
      <c r="AL667" s="77"/>
      <c r="AM667" s="77"/>
      <c r="AN667" s="77"/>
      <c r="AO667" s="77"/>
      <c r="AP667" s="77"/>
      <c r="AQ667" s="77"/>
      <c r="AR667" s="77"/>
    </row>
    <row r="668" ht="15.75" customHeight="1">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c r="AB668" s="77"/>
      <c r="AC668" s="77"/>
      <c r="AD668" s="77"/>
      <c r="AE668" s="77"/>
      <c r="AF668" s="77"/>
      <c r="AG668" s="77"/>
      <c r="AH668" s="77"/>
      <c r="AI668" s="77"/>
      <c r="AJ668" s="77"/>
      <c r="AK668" s="77"/>
      <c r="AL668" s="77"/>
      <c r="AM668" s="77"/>
      <c r="AN668" s="77"/>
      <c r="AO668" s="77"/>
      <c r="AP668" s="77"/>
      <c r="AQ668" s="77"/>
      <c r="AR668" s="77"/>
    </row>
    <row r="669" ht="15.75" customHeight="1">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c r="AH669" s="77"/>
      <c r="AI669" s="77"/>
      <c r="AJ669" s="77"/>
      <c r="AK669" s="77"/>
      <c r="AL669" s="77"/>
      <c r="AM669" s="77"/>
      <c r="AN669" s="77"/>
      <c r="AO669" s="77"/>
      <c r="AP669" s="77"/>
      <c r="AQ669" s="77"/>
      <c r="AR669" s="77"/>
    </row>
    <row r="670" ht="15.75" customHeight="1">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c r="AB670" s="77"/>
      <c r="AC670" s="77"/>
      <c r="AD670" s="77"/>
      <c r="AE670" s="77"/>
      <c r="AF670" s="77"/>
      <c r="AG670" s="77"/>
      <c r="AH670" s="77"/>
      <c r="AI670" s="77"/>
      <c r="AJ670" s="77"/>
      <c r="AK670" s="77"/>
      <c r="AL670" s="77"/>
      <c r="AM670" s="77"/>
      <c r="AN670" s="77"/>
      <c r="AO670" s="77"/>
      <c r="AP670" s="77"/>
      <c r="AQ670" s="77"/>
      <c r="AR670" s="77"/>
    </row>
    <row r="671" ht="15.75" customHeight="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c r="AH671" s="77"/>
      <c r="AI671" s="77"/>
      <c r="AJ671" s="77"/>
      <c r="AK671" s="77"/>
      <c r="AL671" s="77"/>
      <c r="AM671" s="77"/>
      <c r="AN671" s="77"/>
      <c r="AO671" s="77"/>
      <c r="AP671" s="77"/>
      <c r="AQ671" s="77"/>
      <c r="AR671" s="77"/>
    </row>
    <row r="672" ht="15.75" customHeight="1">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row>
    <row r="673" ht="15.75" customHeight="1">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c r="AB673" s="77"/>
      <c r="AC673" s="77"/>
      <c r="AD673" s="77"/>
      <c r="AE673" s="77"/>
      <c r="AF673" s="77"/>
      <c r="AG673" s="77"/>
      <c r="AH673" s="77"/>
      <c r="AI673" s="77"/>
      <c r="AJ673" s="77"/>
      <c r="AK673" s="77"/>
      <c r="AL673" s="77"/>
      <c r="AM673" s="77"/>
      <c r="AN673" s="77"/>
      <c r="AO673" s="77"/>
      <c r="AP673" s="77"/>
      <c r="AQ673" s="77"/>
      <c r="AR673" s="77"/>
    </row>
    <row r="674" ht="15.75" customHeight="1">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c r="AB674" s="77"/>
      <c r="AC674" s="77"/>
      <c r="AD674" s="77"/>
      <c r="AE674" s="77"/>
      <c r="AF674" s="77"/>
      <c r="AG674" s="77"/>
      <c r="AH674" s="77"/>
      <c r="AI674" s="77"/>
      <c r="AJ674" s="77"/>
      <c r="AK674" s="77"/>
      <c r="AL674" s="77"/>
      <c r="AM674" s="77"/>
      <c r="AN674" s="77"/>
      <c r="AO674" s="77"/>
      <c r="AP674" s="77"/>
      <c r="AQ674" s="77"/>
      <c r="AR674" s="77"/>
    </row>
    <row r="675" ht="15.75" customHeight="1">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c r="AB675" s="77"/>
      <c r="AC675" s="77"/>
      <c r="AD675" s="77"/>
      <c r="AE675" s="77"/>
      <c r="AF675" s="77"/>
      <c r="AG675" s="77"/>
      <c r="AH675" s="77"/>
      <c r="AI675" s="77"/>
      <c r="AJ675" s="77"/>
      <c r="AK675" s="77"/>
      <c r="AL675" s="77"/>
      <c r="AM675" s="77"/>
      <c r="AN675" s="77"/>
      <c r="AO675" s="77"/>
      <c r="AP675" s="77"/>
      <c r="AQ675" s="77"/>
      <c r="AR675" s="77"/>
    </row>
    <row r="676" ht="15.75" customHeight="1">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c r="AB676" s="77"/>
      <c r="AC676" s="77"/>
      <c r="AD676" s="77"/>
      <c r="AE676" s="77"/>
      <c r="AF676" s="77"/>
      <c r="AG676" s="77"/>
      <c r="AH676" s="77"/>
      <c r="AI676" s="77"/>
      <c r="AJ676" s="77"/>
      <c r="AK676" s="77"/>
      <c r="AL676" s="77"/>
      <c r="AM676" s="77"/>
      <c r="AN676" s="77"/>
      <c r="AO676" s="77"/>
      <c r="AP676" s="77"/>
      <c r="AQ676" s="77"/>
      <c r="AR676" s="77"/>
    </row>
    <row r="677" ht="15.75" customHeight="1">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c r="AB677" s="77"/>
      <c r="AC677" s="77"/>
      <c r="AD677" s="77"/>
      <c r="AE677" s="77"/>
      <c r="AF677" s="77"/>
      <c r="AG677" s="77"/>
      <c r="AH677" s="77"/>
      <c r="AI677" s="77"/>
      <c r="AJ677" s="77"/>
      <c r="AK677" s="77"/>
      <c r="AL677" s="77"/>
      <c r="AM677" s="77"/>
      <c r="AN677" s="77"/>
      <c r="AO677" s="77"/>
      <c r="AP677" s="77"/>
      <c r="AQ677" s="77"/>
      <c r="AR677" s="77"/>
    </row>
    <row r="678" ht="15.75" customHeight="1">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c r="AB678" s="77"/>
      <c r="AC678" s="77"/>
      <c r="AD678" s="77"/>
      <c r="AE678" s="77"/>
      <c r="AF678" s="77"/>
      <c r="AG678" s="77"/>
      <c r="AH678" s="77"/>
      <c r="AI678" s="77"/>
      <c r="AJ678" s="77"/>
      <c r="AK678" s="77"/>
      <c r="AL678" s="77"/>
      <c r="AM678" s="77"/>
      <c r="AN678" s="77"/>
      <c r="AO678" s="77"/>
      <c r="AP678" s="77"/>
      <c r="AQ678" s="77"/>
      <c r="AR678" s="77"/>
    </row>
    <row r="679" ht="15.75" customHeight="1">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c r="AH679" s="77"/>
      <c r="AI679" s="77"/>
      <c r="AJ679" s="77"/>
      <c r="AK679" s="77"/>
      <c r="AL679" s="77"/>
      <c r="AM679" s="77"/>
      <c r="AN679" s="77"/>
      <c r="AO679" s="77"/>
      <c r="AP679" s="77"/>
      <c r="AQ679" s="77"/>
      <c r="AR679" s="77"/>
    </row>
    <row r="680" ht="15.75" customHeight="1">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c r="AB680" s="77"/>
      <c r="AC680" s="77"/>
      <c r="AD680" s="77"/>
      <c r="AE680" s="77"/>
      <c r="AF680" s="77"/>
      <c r="AG680" s="77"/>
      <c r="AH680" s="77"/>
      <c r="AI680" s="77"/>
      <c r="AJ680" s="77"/>
      <c r="AK680" s="77"/>
      <c r="AL680" s="77"/>
      <c r="AM680" s="77"/>
      <c r="AN680" s="77"/>
      <c r="AO680" s="77"/>
      <c r="AP680" s="77"/>
      <c r="AQ680" s="77"/>
      <c r="AR680" s="77"/>
    </row>
    <row r="681" ht="15.75" customHeight="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c r="AH681" s="77"/>
      <c r="AI681" s="77"/>
      <c r="AJ681" s="77"/>
      <c r="AK681" s="77"/>
      <c r="AL681" s="77"/>
      <c r="AM681" s="77"/>
      <c r="AN681" s="77"/>
      <c r="AO681" s="77"/>
      <c r="AP681" s="77"/>
      <c r="AQ681" s="77"/>
      <c r="AR681" s="77"/>
    </row>
    <row r="682" ht="15.75" customHeight="1">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c r="AB682" s="77"/>
      <c r="AC682" s="77"/>
      <c r="AD682" s="77"/>
      <c r="AE682" s="77"/>
      <c r="AF682" s="77"/>
      <c r="AG682" s="77"/>
      <c r="AH682" s="77"/>
      <c r="AI682" s="77"/>
      <c r="AJ682" s="77"/>
      <c r="AK682" s="77"/>
      <c r="AL682" s="77"/>
      <c r="AM682" s="77"/>
      <c r="AN682" s="77"/>
      <c r="AO682" s="77"/>
      <c r="AP682" s="77"/>
      <c r="AQ682" s="77"/>
      <c r="AR682" s="77"/>
    </row>
    <row r="683" ht="15.75" customHeight="1">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c r="AB683" s="77"/>
      <c r="AC683" s="77"/>
      <c r="AD683" s="77"/>
      <c r="AE683" s="77"/>
      <c r="AF683" s="77"/>
      <c r="AG683" s="77"/>
      <c r="AH683" s="77"/>
      <c r="AI683" s="77"/>
      <c r="AJ683" s="77"/>
      <c r="AK683" s="77"/>
      <c r="AL683" s="77"/>
      <c r="AM683" s="77"/>
      <c r="AN683" s="77"/>
      <c r="AO683" s="77"/>
      <c r="AP683" s="77"/>
      <c r="AQ683" s="77"/>
      <c r="AR683" s="77"/>
    </row>
    <row r="684" ht="15.75" customHeight="1">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77"/>
      <c r="AJ684" s="77"/>
      <c r="AK684" s="77"/>
      <c r="AL684" s="77"/>
      <c r="AM684" s="77"/>
      <c r="AN684" s="77"/>
      <c r="AO684" s="77"/>
      <c r="AP684" s="77"/>
      <c r="AQ684" s="77"/>
      <c r="AR684" s="77"/>
    </row>
    <row r="685" ht="15.75" customHeight="1">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c r="AB685" s="77"/>
      <c r="AC685" s="77"/>
      <c r="AD685" s="77"/>
      <c r="AE685" s="77"/>
      <c r="AF685" s="77"/>
      <c r="AG685" s="77"/>
      <c r="AH685" s="77"/>
      <c r="AI685" s="77"/>
      <c r="AJ685" s="77"/>
      <c r="AK685" s="77"/>
      <c r="AL685" s="77"/>
      <c r="AM685" s="77"/>
      <c r="AN685" s="77"/>
      <c r="AO685" s="77"/>
      <c r="AP685" s="77"/>
      <c r="AQ685" s="77"/>
      <c r="AR685" s="77"/>
    </row>
    <row r="686" ht="15.75" customHeight="1">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c r="AB686" s="77"/>
      <c r="AC686" s="77"/>
      <c r="AD686" s="77"/>
      <c r="AE686" s="77"/>
      <c r="AF686" s="77"/>
      <c r="AG686" s="77"/>
      <c r="AH686" s="77"/>
      <c r="AI686" s="77"/>
      <c r="AJ686" s="77"/>
      <c r="AK686" s="77"/>
      <c r="AL686" s="77"/>
      <c r="AM686" s="77"/>
      <c r="AN686" s="77"/>
      <c r="AO686" s="77"/>
      <c r="AP686" s="77"/>
      <c r="AQ686" s="77"/>
      <c r="AR686" s="77"/>
    </row>
    <row r="687" ht="15.75" customHeight="1">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c r="AB687" s="77"/>
      <c r="AC687" s="77"/>
      <c r="AD687" s="77"/>
      <c r="AE687" s="77"/>
      <c r="AF687" s="77"/>
      <c r="AG687" s="77"/>
      <c r="AH687" s="77"/>
      <c r="AI687" s="77"/>
      <c r="AJ687" s="77"/>
      <c r="AK687" s="77"/>
      <c r="AL687" s="77"/>
      <c r="AM687" s="77"/>
      <c r="AN687" s="77"/>
      <c r="AO687" s="77"/>
      <c r="AP687" s="77"/>
      <c r="AQ687" s="77"/>
      <c r="AR687" s="77"/>
    </row>
    <row r="688" ht="15.75" customHeight="1">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77"/>
      <c r="AJ688" s="77"/>
      <c r="AK688" s="77"/>
      <c r="AL688" s="77"/>
      <c r="AM688" s="77"/>
      <c r="AN688" s="77"/>
      <c r="AO688" s="77"/>
      <c r="AP688" s="77"/>
      <c r="AQ688" s="77"/>
      <c r="AR688" s="77"/>
    </row>
    <row r="689" ht="15.75" customHeight="1">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c r="AB689" s="77"/>
      <c r="AC689" s="77"/>
      <c r="AD689" s="77"/>
      <c r="AE689" s="77"/>
      <c r="AF689" s="77"/>
      <c r="AG689" s="77"/>
      <c r="AH689" s="77"/>
      <c r="AI689" s="77"/>
      <c r="AJ689" s="77"/>
      <c r="AK689" s="77"/>
      <c r="AL689" s="77"/>
      <c r="AM689" s="77"/>
      <c r="AN689" s="77"/>
      <c r="AO689" s="77"/>
      <c r="AP689" s="77"/>
      <c r="AQ689" s="77"/>
      <c r="AR689" s="77"/>
    </row>
    <row r="690" ht="15.75" customHeight="1">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c r="AB690" s="77"/>
      <c r="AC690" s="77"/>
      <c r="AD690" s="77"/>
      <c r="AE690" s="77"/>
      <c r="AF690" s="77"/>
      <c r="AG690" s="77"/>
      <c r="AH690" s="77"/>
      <c r="AI690" s="77"/>
      <c r="AJ690" s="77"/>
      <c r="AK690" s="77"/>
      <c r="AL690" s="77"/>
      <c r="AM690" s="77"/>
      <c r="AN690" s="77"/>
      <c r="AO690" s="77"/>
      <c r="AP690" s="77"/>
      <c r="AQ690" s="77"/>
      <c r="AR690" s="77"/>
    </row>
    <row r="691" ht="15.75" customHeight="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c r="AB691" s="77"/>
      <c r="AC691" s="77"/>
      <c r="AD691" s="77"/>
      <c r="AE691" s="77"/>
      <c r="AF691" s="77"/>
      <c r="AG691" s="77"/>
      <c r="AH691" s="77"/>
      <c r="AI691" s="77"/>
      <c r="AJ691" s="77"/>
      <c r="AK691" s="77"/>
      <c r="AL691" s="77"/>
      <c r="AM691" s="77"/>
      <c r="AN691" s="77"/>
      <c r="AO691" s="77"/>
      <c r="AP691" s="77"/>
      <c r="AQ691" s="77"/>
      <c r="AR691" s="77"/>
    </row>
    <row r="692" ht="15.75" customHeight="1">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c r="AB692" s="77"/>
      <c r="AC692" s="77"/>
      <c r="AD692" s="77"/>
      <c r="AE692" s="77"/>
      <c r="AF692" s="77"/>
      <c r="AG692" s="77"/>
      <c r="AH692" s="77"/>
      <c r="AI692" s="77"/>
      <c r="AJ692" s="77"/>
      <c r="AK692" s="77"/>
      <c r="AL692" s="77"/>
      <c r="AM692" s="77"/>
      <c r="AN692" s="77"/>
      <c r="AO692" s="77"/>
      <c r="AP692" s="77"/>
      <c r="AQ692" s="77"/>
      <c r="AR692" s="77"/>
    </row>
    <row r="693" ht="15.75" customHeight="1">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c r="AB693" s="77"/>
      <c r="AC693" s="77"/>
      <c r="AD693" s="77"/>
      <c r="AE693" s="77"/>
      <c r="AF693" s="77"/>
      <c r="AG693" s="77"/>
      <c r="AH693" s="77"/>
      <c r="AI693" s="77"/>
      <c r="AJ693" s="77"/>
      <c r="AK693" s="77"/>
      <c r="AL693" s="77"/>
      <c r="AM693" s="77"/>
      <c r="AN693" s="77"/>
      <c r="AO693" s="77"/>
      <c r="AP693" s="77"/>
      <c r="AQ693" s="77"/>
      <c r="AR693" s="77"/>
    </row>
    <row r="694" ht="15.75" customHeight="1">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c r="AB694" s="77"/>
      <c r="AC694" s="77"/>
      <c r="AD694" s="77"/>
      <c r="AE694" s="77"/>
      <c r="AF694" s="77"/>
      <c r="AG694" s="77"/>
      <c r="AH694" s="77"/>
      <c r="AI694" s="77"/>
      <c r="AJ694" s="77"/>
      <c r="AK694" s="77"/>
      <c r="AL694" s="77"/>
      <c r="AM694" s="77"/>
      <c r="AN694" s="77"/>
      <c r="AO694" s="77"/>
      <c r="AP694" s="77"/>
      <c r="AQ694" s="77"/>
      <c r="AR694" s="77"/>
    </row>
    <row r="695" ht="15.75" customHeight="1">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c r="AB695" s="77"/>
      <c r="AC695" s="77"/>
      <c r="AD695" s="77"/>
      <c r="AE695" s="77"/>
      <c r="AF695" s="77"/>
      <c r="AG695" s="77"/>
      <c r="AH695" s="77"/>
      <c r="AI695" s="77"/>
      <c r="AJ695" s="77"/>
      <c r="AK695" s="77"/>
      <c r="AL695" s="77"/>
      <c r="AM695" s="77"/>
      <c r="AN695" s="77"/>
      <c r="AO695" s="77"/>
      <c r="AP695" s="77"/>
      <c r="AQ695" s="77"/>
      <c r="AR695" s="77"/>
    </row>
    <row r="696" ht="15.75" customHeight="1">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c r="AB696" s="77"/>
      <c r="AC696" s="77"/>
      <c r="AD696" s="77"/>
      <c r="AE696" s="77"/>
      <c r="AF696" s="77"/>
      <c r="AG696" s="77"/>
      <c r="AH696" s="77"/>
      <c r="AI696" s="77"/>
      <c r="AJ696" s="77"/>
      <c r="AK696" s="77"/>
      <c r="AL696" s="77"/>
      <c r="AM696" s="77"/>
      <c r="AN696" s="77"/>
      <c r="AO696" s="77"/>
      <c r="AP696" s="77"/>
      <c r="AQ696" s="77"/>
      <c r="AR696" s="77"/>
    </row>
    <row r="697" ht="15.75" customHeight="1">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c r="AB697" s="77"/>
      <c r="AC697" s="77"/>
      <c r="AD697" s="77"/>
      <c r="AE697" s="77"/>
      <c r="AF697" s="77"/>
      <c r="AG697" s="77"/>
      <c r="AH697" s="77"/>
      <c r="AI697" s="77"/>
      <c r="AJ697" s="77"/>
      <c r="AK697" s="77"/>
      <c r="AL697" s="77"/>
      <c r="AM697" s="77"/>
      <c r="AN697" s="77"/>
      <c r="AO697" s="77"/>
      <c r="AP697" s="77"/>
      <c r="AQ697" s="77"/>
      <c r="AR697" s="77"/>
    </row>
    <row r="698" ht="15.75" customHeight="1">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c r="AB698" s="77"/>
      <c r="AC698" s="77"/>
      <c r="AD698" s="77"/>
      <c r="AE698" s="77"/>
      <c r="AF698" s="77"/>
      <c r="AG698" s="77"/>
      <c r="AH698" s="77"/>
      <c r="AI698" s="77"/>
      <c r="AJ698" s="77"/>
      <c r="AK698" s="77"/>
      <c r="AL698" s="77"/>
      <c r="AM698" s="77"/>
      <c r="AN698" s="77"/>
      <c r="AO698" s="77"/>
      <c r="AP698" s="77"/>
      <c r="AQ698" s="77"/>
      <c r="AR698" s="77"/>
    </row>
    <row r="699" ht="15.75" customHeight="1">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c r="AB699" s="77"/>
      <c r="AC699" s="77"/>
      <c r="AD699" s="77"/>
      <c r="AE699" s="77"/>
      <c r="AF699" s="77"/>
      <c r="AG699" s="77"/>
      <c r="AH699" s="77"/>
      <c r="AI699" s="77"/>
      <c r="AJ699" s="77"/>
      <c r="AK699" s="77"/>
      <c r="AL699" s="77"/>
      <c r="AM699" s="77"/>
      <c r="AN699" s="77"/>
      <c r="AO699" s="77"/>
      <c r="AP699" s="77"/>
      <c r="AQ699" s="77"/>
      <c r="AR699" s="77"/>
    </row>
    <row r="700" ht="15.75" customHeight="1">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77"/>
      <c r="AJ700" s="77"/>
      <c r="AK700" s="77"/>
      <c r="AL700" s="77"/>
      <c r="AM700" s="77"/>
      <c r="AN700" s="77"/>
      <c r="AO700" s="77"/>
      <c r="AP700" s="77"/>
      <c r="AQ700" s="77"/>
      <c r="AR700" s="77"/>
    </row>
    <row r="701" ht="15.75" customHeight="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c r="AB701" s="77"/>
      <c r="AC701" s="77"/>
      <c r="AD701" s="77"/>
      <c r="AE701" s="77"/>
      <c r="AF701" s="77"/>
      <c r="AG701" s="77"/>
      <c r="AH701" s="77"/>
      <c r="AI701" s="77"/>
      <c r="AJ701" s="77"/>
      <c r="AK701" s="77"/>
      <c r="AL701" s="77"/>
      <c r="AM701" s="77"/>
      <c r="AN701" s="77"/>
      <c r="AO701" s="77"/>
      <c r="AP701" s="77"/>
      <c r="AQ701" s="77"/>
      <c r="AR701" s="77"/>
    </row>
    <row r="702" ht="15.75" customHeight="1">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c r="AB702" s="77"/>
      <c r="AC702" s="77"/>
      <c r="AD702" s="77"/>
      <c r="AE702" s="77"/>
      <c r="AF702" s="77"/>
      <c r="AG702" s="77"/>
      <c r="AH702" s="77"/>
      <c r="AI702" s="77"/>
      <c r="AJ702" s="77"/>
      <c r="AK702" s="77"/>
      <c r="AL702" s="77"/>
      <c r="AM702" s="77"/>
      <c r="AN702" s="77"/>
      <c r="AO702" s="77"/>
      <c r="AP702" s="77"/>
      <c r="AQ702" s="77"/>
      <c r="AR702" s="77"/>
    </row>
    <row r="703" ht="15.75" customHeight="1">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c r="AB703" s="77"/>
      <c r="AC703" s="77"/>
      <c r="AD703" s="77"/>
      <c r="AE703" s="77"/>
      <c r="AF703" s="77"/>
      <c r="AG703" s="77"/>
      <c r="AH703" s="77"/>
      <c r="AI703" s="77"/>
      <c r="AJ703" s="77"/>
      <c r="AK703" s="77"/>
      <c r="AL703" s="77"/>
      <c r="AM703" s="77"/>
      <c r="AN703" s="77"/>
      <c r="AO703" s="77"/>
      <c r="AP703" s="77"/>
      <c r="AQ703" s="77"/>
      <c r="AR703" s="77"/>
    </row>
    <row r="704" ht="15.75" customHeight="1">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c r="AB704" s="77"/>
      <c r="AC704" s="77"/>
      <c r="AD704" s="77"/>
      <c r="AE704" s="77"/>
      <c r="AF704" s="77"/>
      <c r="AG704" s="77"/>
      <c r="AH704" s="77"/>
      <c r="AI704" s="77"/>
      <c r="AJ704" s="77"/>
      <c r="AK704" s="77"/>
      <c r="AL704" s="77"/>
      <c r="AM704" s="77"/>
      <c r="AN704" s="77"/>
      <c r="AO704" s="77"/>
      <c r="AP704" s="77"/>
      <c r="AQ704" s="77"/>
      <c r="AR704" s="77"/>
    </row>
    <row r="705" ht="15.75" customHeight="1">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c r="AB705" s="77"/>
      <c r="AC705" s="77"/>
      <c r="AD705" s="77"/>
      <c r="AE705" s="77"/>
      <c r="AF705" s="77"/>
      <c r="AG705" s="77"/>
      <c r="AH705" s="77"/>
      <c r="AI705" s="77"/>
      <c r="AJ705" s="77"/>
      <c r="AK705" s="77"/>
      <c r="AL705" s="77"/>
      <c r="AM705" s="77"/>
      <c r="AN705" s="77"/>
      <c r="AO705" s="77"/>
      <c r="AP705" s="77"/>
      <c r="AQ705" s="77"/>
      <c r="AR705" s="77"/>
    </row>
    <row r="706" ht="15.75" customHeight="1">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c r="AB706" s="77"/>
      <c r="AC706" s="77"/>
      <c r="AD706" s="77"/>
      <c r="AE706" s="77"/>
      <c r="AF706" s="77"/>
      <c r="AG706" s="77"/>
      <c r="AH706" s="77"/>
      <c r="AI706" s="77"/>
      <c r="AJ706" s="77"/>
      <c r="AK706" s="77"/>
      <c r="AL706" s="77"/>
      <c r="AM706" s="77"/>
      <c r="AN706" s="77"/>
      <c r="AO706" s="77"/>
      <c r="AP706" s="77"/>
      <c r="AQ706" s="77"/>
      <c r="AR706" s="77"/>
    </row>
    <row r="707" ht="15.75" customHeight="1">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c r="AB707" s="77"/>
      <c r="AC707" s="77"/>
      <c r="AD707" s="77"/>
      <c r="AE707" s="77"/>
      <c r="AF707" s="77"/>
      <c r="AG707" s="77"/>
      <c r="AH707" s="77"/>
      <c r="AI707" s="77"/>
      <c r="AJ707" s="77"/>
      <c r="AK707" s="77"/>
      <c r="AL707" s="77"/>
      <c r="AM707" s="77"/>
      <c r="AN707" s="77"/>
      <c r="AO707" s="77"/>
      <c r="AP707" s="77"/>
      <c r="AQ707" s="77"/>
      <c r="AR707" s="77"/>
    </row>
    <row r="708" ht="15.75" customHeight="1">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c r="AB708" s="77"/>
      <c r="AC708" s="77"/>
      <c r="AD708" s="77"/>
      <c r="AE708" s="77"/>
      <c r="AF708" s="77"/>
      <c r="AG708" s="77"/>
      <c r="AH708" s="77"/>
      <c r="AI708" s="77"/>
      <c r="AJ708" s="77"/>
      <c r="AK708" s="77"/>
      <c r="AL708" s="77"/>
      <c r="AM708" s="77"/>
      <c r="AN708" s="77"/>
      <c r="AO708" s="77"/>
      <c r="AP708" s="77"/>
      <c r="AQ708" s="77"/>
      <c r="AR708" s="77"/>
    </row>
    <row r="709" ht="15.75" customHeight="1">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c r="AB709" s="77"/>
      <c r="AC709" s="77"/>
      <c r="AD709" s="77"/>
      <c r="AE709" s="77"/>
      <c r="AF709" s="77"/>
      <c r="AG709" s="77"/>
      <c r="AH709" s="77"/>
      <c r="AI709" s="77"/>
      <c r="AJ709" s="77"/>
      <c r="AK709" s="77"/>
      <c r="AL709" s="77"/>
      <c r="AM709" s="77"/>
      <c r="AN709" s="77"/>
      <c r="AO709" s="77"/>
      <c r="AP709" s="77"/>
      <c r="AQ709" s="77"/>
      <c r="AR709" s="77"/>
    </row>
    <row r="710" ht="15.75" customHeight="1">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c r="AB710" s="77"/>
      <c r="AC710" s="77"/>
      <c r="AD710" s="77"/>
      <c r="AE710" s="77"/>
      <c r="AF710" s="77"/>
      <c r="AG710" s="77"/>
      <c r="AH710" s="77"/>
      <c r="AI710" s="77"/>
      <c r="AJ710" s="77"/>
      <c r="AK710" s="77"/>
      <c r="AL710" s="77"/>
      <c r="AM710" s="77"/>
      <c r="AN710" s="77"/>
      <c r="AO710" s="77"/>
      <c r="AP710" s="77"/>
      <c r="AQ710" s="77"/>
      <c r="AR710" s="77"/>
    </row>
    <row r="711" ht="15.75" customHeight="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c r="AB711" s="77"/>
      <c r="AC711" s="77"/>
      <c r="AD711" s="77"/>
      <c r="AE711" s="77"/>
      <c r="AF711" s="77"/>
      <c r="AG711" s="77"/>
      <c r="AH711" s="77"/>
      <c r="AI711" s="77"/>
      <c r="AJ711" s="77"/>
      <c r="AK711" s="77"/>
      <c r="AL711" s="77"/>
      <c r="AM711" s="77"/>
      <c r="AN711" s="77"/>
      <c r="AO711" s="77"/>
      <c r="AP711" s="77"/>
      <c r="AQ711" s="77"/>
      <c r="AR711" s="77"/>
    </row>
    <row r="712" ht="15.75" customHeight="1">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c r="AB712" s="77"/>
      <c r="AC712" s="77"/>
      <c r="AD712" s="77"/>
      <c r="AE712" s="77"/>
      <c r="AF712" s="77"/>
      <c r="AG712" s="77"/>
      <c r="AH712" s="77"/>
      <c r="AI712" s="77"/>
      <c r="AJ712" s="77"/>
      <c r="AK712" s="77"/>
      <c r="AL712" s="77"/>
      <c r="AM712" s="77"/>
      <c r="AN712" s="77"/>
      <c r="AO712" s="77"/>
      <c r="AP712" s="77"/>
      <c r="AQ712" s="77"/>
      <c r="AR712" s="77"/>
    </row>
    <row r="713" ht="15.75" customHeight="1">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c r="AB713" s="77"/>
      <c r="AC713" s="77"/>
      <c r="AD713" s="77"/>
      <c r="AE713" s="77"/>
      <c r="AF713" s="77"/>
      <c r="AG713" s="77"/>
      <c r="AH713" s="77"/>
      <c r="AI713" s="77"/>
      <c r="AJ713" s="77"/>
      <c r="AK713" s="77"/>
      <c r="AL713" s="77"/>
      <c r="AM713" s="77"/>
      <c r="AN713" s="77"/>
      <c r="AO713" s="77"/>
      <c r="AP713" s="77"/>
      <c r="AQ713" s="77"/>
      <c r="AR713" s="77"/>
    </row>
    <row r="714" ht="15.75" customHeight="1">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c r="AB714" s="77"/>
      <c r="AC714" s="77"/>
      <c r="AD714" s="77"/>
      <c r="AE714" s="77"/>
      <c r="AF714" s="77"/>
      <c r="AG714" s="77"/>
      <c r="AH714" s="77"/>
      <c r="AI714" s="77"/>
      <c r="AJ714" s="77"/>
      <c r="AK714" s="77"/>
      <c r="AL714" s="77"/>
      <c r="AM714" s="77"/>
      <c r="AN714" s="77"/>
      <c r="AO714" s="77"/>
      <c r="AP714" s="77"/>
      <c r="AQ714" s="77"/>
      <c r="AR714" s="77"/>
    </row>
    <row r="715" ht="15.75" customHeight="1">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c r="AB715" s="77"/>
      <c r="AC715" s="77"/>
      <c r="AD715" s="77"/>
      <c r="AE715" s="77"/>
      <c r="AF715" s="77"/>
      <c r="AG715" s="77"/>
      <c r="AH715" s="77"/>
      <c r="AI715" s="77"/>
      <c r="AJ715" s="77"/>
      <c r="AK715" s="77"/>
      <c r="AL715" s="77"/>
      <c r="AM715" s="77"/>
      <c r="AN715" s="77"/>
      <c r="AO715" s="77"/>
      <c r="AP715" s="77"/>
      <c r="AQ715" s="77"/>
      <c r="AR715" s="77"/>
    </row>
    <row r="716" ht="15.75" customHeight="1">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c r="AB716" s="77"/>
      <c r="AC716" s="77"/>
      <c r="AD716" s="77"/>
      <c r="AE716" s="77"/>
      <c r="AF716" s="77"/>
      <c r="AG716" s="77"/>
      <c r="AH716" s="77"/>
      <c r="AI716" s="77"/>
      <c r="AJ716" s="77"/>
      <c r="AK716" s="77"/>
      <c r="AL716" s="77"/>
      <c r="AM716" s="77"/>
      <c r="AN716" s="77"/>
      <c r="AO716" s="77"/>
      <c r="AP716" s="77"/>
      <c r="AQ716" s="77"/>
      <c r="AR716" s="77"/>
    </row>
    <row r="717" ht="15.75" customHeight="1">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c r="AB717" s="77"/>
      <c r="AC717" s="77"/>
      <c r="AD717" s="77"/>
      <c r="AE717" s="77"/>
      <c r="AF717" s="77"/>
      <c r="AG717" s="77"/>
      <c r="AH717" s="77"/>
      <c r="AI717" s="77"/>
      <c r="AJ717" s="77"/>
      <c r="AK717" s="77"/>
      <c r="AL717" s="77"/>
      <c r="AM717" s="77"/>
      <c r="AN717" s="77"/>
      <c r="AO717" s="77"/>
      <c r="AP717" s="77"/>
      <c r="AQ717" s="77"/>
      <c r="AR717" s="77"/>
    </row>
    <row r="718" ht="15.75" customHeight="1">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c r="AB718" s="77"/>
      <c r="AC718" s="77"/>
      <c r="AD718" s="77"/>
      <c r="AE718" s="77"/>
      <c r="AF718" s="77"/>
      <c r="AG718" s="77"/>
      <c r="AH718" s="77"/>
      <c r="AI718" s="77"/>
      <c r="AJ718" s="77"/>
      <c r="AK718" s="77"/>
      <c r="AL718" s="77"/>
      <c r="AM718" s="77"/>
      <c r="AN718" s="77"/>
      <c r="AO718" s="77"/>
      <c r="AP718" s="77"/>
      <c r="AQ718" s="77"/>
      <c r="AR718" s="77"/>
    </row>
    <row r="719" ht="15.75" customHeight="1">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c r="AB719" s="77"/>
      <c r="AC719" s="77"/>
      <c r="AD719" s="77"/>
      <c r="AE719" s="77"/>
      <c r="AF719" s="77"/>
      <c r="AG719" s="77"/>
      <c r="AH719" s="77"/>
      <c r="AI719" s="77"/>
      <c r="AJ719" s="77"/>
      <c r="AK719" s="77"/>
      <c r="AL719" s="77"/>
      <c r="AM719" s="77"/>
      <c r="AN719" s="77"/>
      <c r="AO719" s="77"/>
      <c r="AP719" s="77"/>
      <c r="AQ719" s="77"/>
      <c r="AR719" s="77"/>
    </row>
    <row r="720" ht="15.75" customHeight="1">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c r="AB720" s="77"/>
      <c r="AC720" s="77"/>
      <c r="AD720" s="77"/>
      <c r="AE720" s="77"/>
      <c r="AF720" s="77"/>
      <c r="AG720" s="77"/>
      <c r="AH720" s="77"/>
      <c r="AI720" s="77"/>
      <c r="AJ720" s="77"/>
      <c r="AK720" s="77"/>
      <c r="AL720" s="77"/>
      <c r="AM720" s="77"/>
      <c r="AN720" s="77"/>
      <c r="AO720" s="77"/>
      <c r="AP720" s="77"/>
      <c r="AQ720" s="77"/>
      <c r="AR720" s="77"/>
    </row>
    <row r="721" ht="15.75" customHeight="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c r="AB721" s="77"/>
      <c r="AC721" s="77"/>
      <c r="AD721" s="77"/>
      <c r="AE721" s="77"/>
      <c r="AF721" s="77"/>
      <c r="AG721" s="77"/>
      <c r="AH721" s="77"/>
      <c r="AI721" s="77"/>
      <c r="AJ721" s="77"/>
      <c r="AK721" s="77"/>
      <c r="AL721" s="77"/>
      <c r="AM721" s="77"/>
      <c r="AN721" s="77"/>
      <c r="AO721" s="77"/>
      <c r="AP721" s="77"/>
      <c r="AQ721" s="77"/>
      <c r="AR721" s="77"/>
    </row>
    <row r="722" ht="15.75" customHeight="1">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c r="AB722" s="77"/>
      <c r="AC722" s="77"/>
      <c r="AD722" s="77"/>
      <c r="AE722" s="77"/>
      <c r="AF722" s="77"/>
      <c r="AG722" s="77"/>
      <c r="AH722" s="77"/>
      <c r="AI722" s="77"/>
      <c r="AJ722" s="77"/>
      <c r="AK722" s="77"/>
      <c r="AL722" s="77"/>
      <c r="AM722" s="77"/>
      <c r="AN722" s="77"/>
      <c r="AO722" s="77"/>
      <c r="AP722" s="77"/>
      <c r="AQ722" s="77"/>
      <c r="AR722" s="77"/>
    </row>
    <row r="723" ht="15.75" customHeight="1">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c r="AB723" s="77"/>
      <c r="AC723" s="77"/>
      <c r="AD723" s="77"/>
      <c r="AE723" s="77"/>
      <c r="AF723" s="77"/>
      <c r="AG723" s="77"/>
      <c r="AH723" s="77"/>
      <c r="AI723" s="77"/>
      <c r="AJ723" s="77"/>
      <c r="AK723" s="77"/>
      <c r="AL723" s="77"/>
      <c r="AM723" s="77"/>
      <c r="AN723" s="77"/>
      <c r="AO723" s="77"/>
      <c r="AP723" s="77"/>
      <c r="AQ723" s="77"/>
      <c r="AR723" s="77"/>
    </row>
    <row r="724" ht="15.75" customHeight="1">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c r="AB724" s="77"/>
      <c r="AC724" s="77"/>
      <c r="AD724" s="77"/>
      <c r="AE724" s="77"/>
      <c r="AF724" s="77"/>
      <c r="AG724" s="77"/>
      <c r="AH724" s="77"/>
      <c r="AI724" s="77"/>
      <c r="AJ724" s="77"/>
      <c r="AK724" s="77"/>
      <c r="AL724" s="77"/>
      <c r="AM724" s="77"/>
      <c r="AN724" s="77"/>
      <c r="AO724" s="77"/>
      <c r="AP724" s="77"/>
      <c r="AQ724" s="77"/>
      <c r="AR724" s="77"/>
    </row>
    <row r="725" ht="15.75" customHeight="1">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c r="AB725" s="77"/>
      <c r="AC725" s="77"/>
      <c r="AD725" s="77"/>
      <c r="AE725" s="77"/>
      <c r="AF725" s="77"/>
      <c r="AG725" s="77"/>
      <c r="AH725" s="77"/>
      <c r="AI725" s="77"/>
      <c r="AJ725" s="77"/>
      <c r="AK725" s="77"/>
      <c r="AL725" s="77"/>
      <c r="AM725" s="77"/>
      <c r="AN725" s="77"/>
      <c r="AO725" s="77"/>
      <c r="AP725" s="77"/>
      <c r="AQ725" s="77"/>
      <c r="AR725" s="77"/>
    </row>
    <row r="726" ht="15.75" customHeight="1">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c r="AB726" s="77"/>
      <c r="AC726" s="77"/>
      <c r="AD726" s="77"/>
      <c r="AE726" s="77"/>
      <c r="AF726" s="77"/>
      <c r="AG726" s="77"/>
      <c r="AH726" s="77"/>
      <c r="AI726" s="77"/>
      <c r="AJ726" s="77"/>
      <c r="AK726" s="77"/>
      <c r="AL726" s="77"/>
      <c r="AM726" s="77"/>
      <c r="AN726" s="77"/>
      <c r="AO726" s="77"/>
      <c r="AP726" s="77"/>
      <c r="AQ726" s="77"/>
      <c r="AR726" s="77"/>
    </row>
    <row r="727" ht="15.75" customHeight="1">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c r="AB727" s="77"/>
      <c r="AC727" s="77"/>
      <c r="AD727" s="77"/>
      <c r="AE727" s="77"/>
      <c r="AF727" s="77"/>
      <c r="AG727" s="77"/>
      <c r="AH727" s="77"/>
      <c r="AI727" s="77"/>
      <c r="AJ727" s="77"/>
      <c r="AK727" s="77"/>
      <c r="AL727" s="77"/>
      <c r="AM727" s="77"/>
      <c r="AN727" s="77"/>
      <c r="AO727" s="77"/>
      <c r="AP727" s="77"/>
      <c r="AQ727" s="77"/>
      <c r="AR727" s="77"/>
    </row>
    <row r="728" ht="15.75" customHeight="1">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c r="AB728" s="77"/>
      <c r="AC728" s="77"/>
      <c r="AD728" s="77"/>
      <c r="AE728" s="77"/>
      <c r="AF728" s="77"/>
      <c r="AG728" s="77"/>
      <c r="AH728" s="77"/>
      <c r="AI728" s="77"/>
      <c r="AJ728" s="77"/>
      <c r="AK728" s="77"/>
      <c r="AL728" s="77"/>
      <c r="AM728" s="77"/>
      <c r="AN728" s="77"/>
      <c r="AO728" s="77"/>
      <c r="AP728" s="77"/>
      <c r="AQ728" s="77"/>
      <c r="AR728" s="77"/>
    </row>
    <row r="729" ht="15.75" customHeight="1">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c r="AB729" s="77"/>
      <c r="AC729" s="77"/>
      <c r="AD729" s="77"/>
      <c r="AE729" s="77"/>
      <c r="AF729" s="77"/>
      <c r="AG729" s="77"/>
      <c r="AH729" s="77"/>
      <c r="AI729" s="77"/>
      <c r="AJ729" s="77"/>
      <c r="AK729" s="77"/>
      <c r="AL729" s="77"/>
      <c r="AM729" s="77"/>
      <c r="AN729" s="77"/>
      <c r="AO729" s="77"/>
      <c r="AP729" s="77"/>
      <c r="AQ729" s="77"/>
      <c r="AR729" s="77"/>
    </row>
    <row r="730" ht="15.75" customHeight="1">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c r="AB730" s="77"/>
      <c r="AC730" s="77"/>
      <c r="AD730" s="77"/>
      <c r="AE730" s="77"/>
      <c r="AF730" s="77"/>
      <c r="AG730" s="77"/>
      <c r="AH730" s="77"/>
      <c r="AI730" s="77"/>
      <c r="AJ730" s="77"/>
      <c r="AK730" s="77"/>
      <c r="AL730" s="77"/>
      <c r="AM730" s="77"/>
      <c r="AN730" s="77"/>
      <c r="AO730" s="77"/>
      <c r="AP730" s="77"/>
      <c r="AQ730" s="77"/>
      <c r="AR730" s="77"/>
    </row>
    <row r="731" ht="15.75" customHeight="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c r="AB731" s="77"/>
      <c r="AC731" s="77"/>
      <c r="AD731" s="77"/>
      <c r="AE731" s="77"/>
      <c r="AF731" s="77"/>
      <c r="AG731" s="77"/>
      <c r="AH731" s="77"/>
      <c r="AI731" s="77"/>
      <c r="AJ731" s="77"/>
      <c r="AK731" s="77"/>
      <c r="AL731" s="77"/>
      <c r="AM731" s="77"/>
      <c r="AN731" s="77"/>
      <c r="AO731" s="77"/>
      <c r="AP731" s="77"/>
      <c r="AQ731" s="77"/>
      <c r="AR731" s="77"/>
    </row>
    <row r="732" ht="15.75" customHeight="1">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c r="AB732" s="77"/>
      <c r="AC732" s="77"/>
      <c r="AD732" s="77"/>
      <c r="AE732" s="77"/>
      <c r="AF732" s="77"/>
      <c r="AG732" s="77"/>
      <c r="AH732" s="77"/>
      <c r="AI732" s="77"/>
      <c r="AJ732" s="77"/>
      <c r="AK732" s="77"/>
      <c r="AL732" s="77"/>
      <c r="AM732" s="77"/>
      <c r="AN732" s="77"/>
      <c r="AO732" s="77"/>
      <c r="AP732" s="77"/>
      <c r="AQ732" s="77"/>
      <c r="AR732" s="77"/>
    </row>
    <row r="733" ht="15.75" customHeight="1">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c r="AB733" s="77"/>
      <c r="AC733" s="77"/>
      <c r="AD733" s="77"/>
      <c r="AE733" s="77"/>
      <c r="AF733" s="77"/>
      <c r="AG733" s="77"/>
      <c r="AH733" s="77"/>
      <c r="AI733" s="77"/>
      <c r="AJ733" s="77"/>
      <c r="AK733" s="77"/>
      <c r="AL733" s="77"/>
      <c r="AM733" s="77"/>
      <c r="AN733" s="77"/>
      <c r="AO733" s="77"/>
      <c r="AP733" s="77"/>
      <c r="AQ733" s="77"/>
      <c r="AR733" s="77"/>
    </row>
    <row r="734" ht="15.75" customHeight="1">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c r="AH734" s="77"/>
      <c r="AI734" s="77"/>
      <c r="AJ734" s="77"/>
      <c r="AK734" s="77"/>
      <c r="AL734" s="77"/>
      <c r="AM734" s="77"/>
      <c r="AN734" s="77"/>
      <c r="AO734" s="77"/>
      <c r="AP734" s="77"/>
      <c r="AQ734" s="77"/>
      <c r="AR734" s="77"/>
    </row>
    <row r="735" ht="15.75" customHeight="1">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c r="AB735" s="77"/>
      <c r="AC735" s="77"/>
      <c r="AD735" s="77"/>
      <c r="AE735" s="77"/>
      <c r="AF735" s="77"/>
      <c r="AG735" s="77"/>
      <c r="AH735" s="77"/>
      <c r="AI735" s="77"/>
      <c r="AJ735" s="77"/>
      <c r="AK735" s="77"/>
      <c r="AL735" s="77"/>
      <c r="AM735" s="77"/>
      <c r="AN735" s="77"/>
      <c r="AO735" s="77"/>
      <c r="AP735" s="77"/>
      <c r="AQ735" s="77"/>
      <c r="AR735" s="77"/>
    </row>
    <row r="736" ht="15.75" customHeight="1">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c r="AB736" s="77"/>
      <c r="AC736" s="77"/>
      <c r="AD736" s="77"/>
      <c r="AE736" s="77"/>
      <c r="AF736" s="77"/>
      <c r="AG736" s="77"/>
      <c r="AH736" s="77"/>
      <c r="AI736" s="77"/>
      <c r="AJ736" s="77"/>
      <c r="AK736" s="77"/>
      <c r="AL736" s="77"/>
      <c r="AM736" s="77"/>
      <c r="AN736" s="77"/>
      <c r="AO736" s="77"/>
      <c r="AP736" s="77"/>
      <c r="AQ736" s="77"/>
      <c r="AR736" s="77"/>
    </row>
    <row r="737" ht="15.75" customHeight="1">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c r="AB737" s="77"/>
      <c r="AC737" s="77"/>
      <c r="AD737" s="77"/>
      <c r="AE737" s="77"/>
      <c r="AF737" s="77"/>
      <c r="AG737" s="77"/>
      <c r="AH737" s="77"/>
      <c r="AI737" s="77"/>
      <c r="AJ737" s="77"/>
      <c r="AK737" s="77"/>
      <c r="AL737" s="77"/>
      <c r="AM737" s="77"/>
      <c r="AN737" s="77"/>
      <c r="AO737" s="77"/>
      <c r="AP737" s="77"/>
      <c r="AQ737" s="77"/>
      <c r="AR737" s="77"/>
    </row>
    <row r="738" ht="15.75" customHeight="1">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c r="AB738" s="77"/>
      <c r="AC738" s="77"/>
      <c r="AD738" s="77"/>
      <c r="AE738" s="77"/>
      <c r="AF738" s="77"/>
      <c r="AG738" s="77"/>
      <c r="AH738" s="77"/>
      <c r="AI738" s="77"/>
      <c r="AJ738" s="77"/>
      <c r="AK738" s="77"/>
      <c r="AL738" s="77"/>
      <c r="AM738" s="77"/>
      <c r="AN738" s="77"/>
      <c r="AO738" s="77"/>
      <c r="AP738" s="77"/>
      <c r="AQ738" s="77"/>
      <c r="AR738" s="77"/>
    </row>
    <row r="739" ht="15.75" customHeight="1">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c r="AB739" s="77"/>
      <c r="AC739" s="77"/>
      <c r="AD739" s="77"/>
      <c r="AE739" s="77"/>
      <c r="AF739" s="77"/>
      <c r="AG739" s="77"/>
      <c r="AH739" s="77"/>
      <c r="AI739" s="77"/>
      <c r="AJ739" s="77"/>
      <c r="AK739" s="77"/>
      <c r="AL739" s="77"/>
      <c r="AM739" s="77"/>
      <c r="AN739" s="77"/>
      <c r="AO739" s="77"/>
      <c r="AP739" s="77"/>
      <c r="AQ739" s="77"/>
      <c r="AR739" s="77"/>
    </row>
    <row r="740" ht="15.75" customHeight="1">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c r="AB740" s="77"/>
      <c r="AC740" s="77"/>
      <c r="AD740" s="77"/>
      <c r="AE740" s="77"/>
      <c r="AF740" s="77"/>
      <c r="AG740" s="77"/>
      <c r="AH740" s="77"/>
      <c r="AI740" s="77"/>
      <c r="AJ740" s="77"/>
      <c r="AK740" s="77"/>
      <c r="AL740" s="77"/>
      <c r="AM740" s="77"/>
      <c r="AN740" s="77"/>
      <c r="AO740" s="77"/>
      <c r="AP740" s="77"/>
      <c r="AQ740" s="77"/>
      <c r="AR740" s="77"/>
    </row>
    <row r="741" ht="15.75" customHeight="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c r="AB741" s="77"/>
      <c r="AC741" s="77"/>
      <c r="AD741" s="77"/>
      <c r="AE741" s="77"/>
      <c r="AF741" s="77"/>
      <c r="AG741" s="77"/>
      <c r="AH741" s="77"/>
      <c r="AI741" s="77"/>
      <c r="AJ741" s="77"/>
      <c r="AK741" s="77"/>
      <c r="AL741" s="77"/>
      <c r="AM741" s="77"/>
      <c r="AN741" s="77"/>
      <c r="AO741" s="77"/>
      <c r="AP741" s="77"/>
      <c r="AQ741" s="77"/>
      <c r="AR741" s="77"/>
    </row>
    <row r="742" ht="15.75" customHeight="1">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c r="AB742" s="77"/>
      <c r="AC742" s="77"/>
      <c r="AD742" s="77"/>
      <c r="AE742" s="77"/>
      <c r="AF742" s="77"/>
      <c r="AG742" s="77"/>
      <c r="AH742" s="77"/>
      <c r="AI742" s="77"/>
      <c r="AJ742" s="77"/>
      <c r="AK742" s="77"/>
      <c r="AL742" s="77"/>
      <c r="AM742" s="77"/>
      <c r="AN742" s="77"/>
      <c r="AO742" s="77"/>
      <c r="AP742" s="77"/>
      <c r="AQ742" s="77"/>
      <c r="AR742" s="77"/>
    </row>
    <row r="743" ht="15.75" customHeight="1">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c r="AB743" s="77"/>
      <c r="AC743" s="77"/>
      <c r="AD743" s="77"/>
      <c r="AE743" s="77"/>
      <c r="AF743" s="77"/>
      <c r="AG743" s="77"/>
      <c r="AH743" s="77"/>
      <c r="AI743" s="77"/>
      <c r="AJ743" s="77"/>
      <c r="AK743" s="77"/>
      <c r="AL743" s="77"/>
      <c r="AM743" s="77"/>
      <c r="AN743" s="77"/>
      <c r="AO743" s="77"/>
      <c r="AP743" s="77"/>
      <c r="AQ743" s="77"/>
      <c r="AR743" s="77"/>
    </row>
    <row r="744" ht="15.75" customHeight="1">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c r="AB744" s="77"/>
      <c r="AC744" s="77"/>
      <c r="AD744" s="77"/>
      <c r="AE744" s="77"/>
      <c r="AF744" s="77"/>
      <c r="AG744" s="77"/>
      <c r="AH744" s="77"/>
      <c r="AI744" s="77"/>
      <c r="AJ744" s="77"/>
      <c r="AK744" s="77"/>
      <c r="AL744" s="77"/>
      <c r="AM744" s="77"/>
      <c r="AN744" s="77"/>
      <c r="AO744" s="77"/>
      <c r="AP744" s="77"/>
      <c r="AQ744" s="77"/>
      <c r="AR744" s="77"/>
    </row>
    <row r="745" ht="15.75" customHeight="1">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c r="AB745" s="77"/>
      <c r="AC745" s="77"/>
      <c r="AD745" s="77"/>
      <c r="AE745" s="77"/>
      <c r="AF745" s="77"/>
      <c r="AG745" s="77"/>
      <c r="AH745" s="77"/>
      <c r="AI745" s="77"/>
      <c r="AJ745" s="77"/>
      <c r="AK745" s="77"/>
      <c r="AL745" s="77"/>
      <c r="AM745" s="77"/>
      <c r="AN745" s="77"/>
      <c r="AO745" s="77"/>
      <c r="AP745" s="77"/>
      <c r="AQ745" s="77"/>
      <c r="AR745" s="77"/>
    </row>
    <row r="746" ht="15.75" customHeight="1">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c r="AB746" s="77"/>
      <c r="AC746" s="77"/>
      <c r="AD746" s="77"/>
      <c r="AE746" s="77"/>
      <c r="AF746" s="77"/>
      <c r="AG746" s="77"/>
      <c r="AH746" s="77"/>
      <c r="AI746" s="77"/>
      <c r="AJ746" s="77"/>
      <c r="AK746" s="77"/>
      <c r="AL746" s="77"/>
      <c r="AM746" s="77"/>
      <c r="AN746" s="77"/>
      <c r="AO746" s="77"/>
      <c r="AP746" s="77"/>
      <c r="AQ746" s="77"/>
      <c r="AR746" s="77"/>
    </row>
    <row r="747" ht="15.75" customHeight="1">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c r="AB747" s="77"/>
      <c r="AC747" s="77"/>
      <c r="AD747" s="77"/>
      <c r="AE747" s="77"/>
      <c r="AF747" s="77"/>
      <c r="AG747" s="77"/>
      <c r="AH747" s="77"/>
      <c r="AI747" s="77"/>
      <c r="AJ747" s="77"/>
      <c r="AK747" s="77"/>
      <c r="AL747" s="77"/>
      <c r="AM747" s="77"/>
      <c r="AN747" s="77"/>
      <c r="AO747" s="77"/>
      <c r="AP747" s="77"/>
      <c r="AQ747" s="77"/>
      <c r="AR747" s="77"/>
    </row>
    <row r="748" ht="15.75" customHeight="1">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c r="AB748" s="77"/>
      <c r="AC748" s="77"/>
      <c r="AD748" s="77"/>
      <c r="AE748" s="77"/>
      <c r="AF748" s="77"/>
      <c r="AG748" s="77"/>
      <c r="AH748" s="77"/>
      <c r="AI748" s="77"/>
      <c r="AJ748" s="77"/>
      <c r="AK748" s="77"/>
      <c r="AL748" s="77"/>
      <c r="AM748" s="77"/>
      <c r="AN748" s="77"/>
      <c r="AO748" s="77"/>
      <c r="AP748" s="77"/>
      <c r="AQ748" s="77"/>
      <c r="AR748" s="77"/>
    </row>
    <row r="749" ht="15.75" customHeight="1">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c r="AB749" s="77"/>
      <c r="AC749" s="77"/>
      <c r="AD749" s="77"/>
      <c r="AE749" s="77"/>
      <c r="AF749" s="77"/>
      <c r="AG749" s="77"/>
      <c r="AH749" s="77"/>
      <c r="AI749" s="77"/>
      <c r="AJ749" s="77"/>
      <c r="AK749" s="77"/>
      <c r="AL749" s="77"/>
      <c r="AM749" s="77"/>
      <c r="AN749" s="77"/>
      <c r="AO749" s="77"/>
      <c r="AP749" s="77"/>
      <c r="AQ749" s="77"/>
      <c r="AR749" s="77"/>
    </row>
    <row r="750" ht="15.75" customHeight="1">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c r="AB750" s="77"/>
      <c r="AC750" s="77"/>
      <c r="AD750" s="77"/>
      <c r="AE750" s="77"/>
      <c r="AF750" s="77"/>
      <c r="AG750" s="77"/>
      <c r="AH750" s="77"/>
      <c r="AI750" s="77"/>
      <c r="AJ750" s="77"/>
      <c r="AK750" s="77"/>
      <c r="AL750" s="77"/>
      <c r="AM750" s="77"/>
      <c r="AN750" s="77"/>
      <c r="AO750" s="77"/>
      <c r="AP750" s="77"/>
      <c r="AQ750" s="77"/>
      <c r="AR750" s="77"/>
    </row>
    <row r="751" ht="15.75" customHeight="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c r="AB751" s="77"/>
      <c r="AC751" s="77"/>
      <c r="AD751" s="77"/>
      <c r="AE751" s="77"/>
      <c r="AF751" s="77"/>
      <c r="AG751" s="77"/>
      <c r="AH751" s="77"/>
      <c r="AI751" s="77"/>
      <c r="AJ751" s="77"/>
      <c r="AK751" s="77"/>
      <c r="AL751" s="77"/>
      <c r="AM751" s="77"/>
      <c r="AN751" s="77"/>
      <c r="AO751" s="77"/>
      <c r="AP751" s="77"/>
      <c r="AQ751" s="77"/>
      <c r="AR751" s="77"/>
    </row>
    <row r="752" ht="15.75" customHeight="1">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c r="AB752" s="77"/>
      <c r="AC752" s="77"/>
      <c r="AD752" s="77"/>
      <c r="AE752" s="77"/>
      <c r="AF752" s="77"/>
      <c r="AG752" s="77"/>
      <c r="AH752" s="77"/>
      <c r="AI752" s="77"/>
      <c r="AJ752" s="77"/>
      <c r="AK752" s="77"/>
      <c r="AL752" s="77"/>
      <c r="AM752" s="77"/>
      <c r="AN752" s="77"/>
      <c r="AO752" s="77"/>
      <c r="AP752" s="77"/>
      <c r="AQ752" s="77"/>
      <c r="AR752" s="77"/>
    </row>
    <row r="753" ht="15.75" customHeight="1">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c r="AB753" s="77"/>
      <c r="AC753" s="77"/>
      <c r="AD753" s="77"/>
      <c r="AE753" s="77"/>
      <c r="AF753" s="77"/>
      <c r="AG753" s="77"/>
      <c r="AH753" s="77"/>
      <c r="AI753" s="77"/>
      <c r="AJ753" s="77"/>
      <c r="AK753" s="77"/>
      <c r="AL753" s="77"/>
      <c r="AM753" s="77"/>
      <c r="AN753" s="77"/>
      <c r="AO753" s="77"/>
      <c r="AP753" s="77"/>
      <c r="AQ753" s="77"/>
      <c r="AR753" s="77"/>
    </row>
    <row r="754" ht="15.75" customHeight="1">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c r="AB754" s="77"/>
      <c r="AC754" s="77"/>
      <c r="AD754" s="77"/>
      <c r="AE754" s="77"/>
      <c r="AF754" s="77"/>
      <c r="AG754" s="77"/>
      <c r="AH754" s="77"/>
      <c r="AI754" s="77"/>
      <c r="AJ754" s="77"/>
      <c r="AK754" s="77"/>
      <c r="AL754" s="77"/>
      <c r="AM754" s="77"/>
      <c r="AN754" s="77"/>
      <c r="AO754" s="77"/>
      <c r="AP754" s="77"/>
      <c r="AQ754" s="77"/>
      <c r="AR754" s="77"/>
    </row>
    <row r="755" ht="15.75" customHeight="1">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c r="AB755" s="77"/>
      <c r="AC755" s="77"/>
      <c r="AD755" s="77"/>
      <c r="AE755" s="77"/>
      <c r="AF755" s="77"/>
      <c r="AG755" s="77"/>
      <c r="AH755" s="77"/>
      <c r="AI755" s="77"/>
      <c r="AJ755" s="77"/>
      <c r="AK755" s="77"/>
      <c r="AL755" s="77"/>
      <c r="AM755" s="77"/>
      <c r="AN755" s="77"/>
      <c r="AO755" s="77"/>
      <c r="AP755" s="77"/>
      <c r="AQ755" s="77"/>
      <c r="AR755" s="77"/>
    </row>
    <row r="756" ht="15.75" customHeight="1">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c r="AB756" s="77"/>
      <c r="AC756" s="77"/>
      <c r="AD756" s="77"/>
      <c r="AE756" s="77"/>
      <c r="AF756" s="77"/>
      <c r="AG756" s="77"/>
      <c r="AH756" s="77"/>
      <c r="AI756" s="77"/>
      <c r="AJ756" s="77"/>
      <c r="AK756" s="77"/>
      <c r="AL756" s="77"/>
      <c r="AM756" s="77"/>
      <c r="AN756" s="77"/>
      <c r="AO756" s="77"/>
      <c r="AP756" s="77"/>
      <c r="AQ756" s="77"/>
      <c r="AR756" s="77"/>
    </row>
    <row r="757" ht="15.75" customHeight="1">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c r="AB757" s="77"/>
      <c r="AC757" s="77"/>
      <c r="AD757" s="77"/>
      <c r="AE757" s="77"/>
      <c r="AF757" s="77"/>
      <c r="AG757" s="77"/>
      <c r="AH757" s="77"/>
      <c r="AI757" s="77"/>
      <c r="AJ757" s="77"/>
      <c r="AK757" s="77"/>
      <c r="AL757" s="77"/>
      <c r="AM757" s="77"/>
      <c r="AN757" s="77"/>
      <c r="AO757" s="77"/>
      <c r="AP757" s="77"/>
      <c r="AQ757" s="77"/>
      <c r="AR757" s="77"/>
    </row>
    <row r="758" ht="15.75" customHeight="1">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c r="AB758" s="77"/>
      <c r="AC758" s="77"/>
      <c r="AD758" s="77"/>
      <c r="AE758" s="77"/>
      <c r="AF758" s="77"/>
      <c r="AG758" s="77"/>
      <c r="AH758" s="77"/>
      <c r="AI758" s="77"/>
      <c r="AJ758" s="77"/>
      <c r="AK758" s="77"/>
      <c r="AL758" s="77"/>
      <c r="AM758" s="77"/>
      <c r="AN758" s="77"/>
      <c r="AO758" s="77"/>
      <c r="AP758" s="77"/>
      <c r="AQ758" s="77"/>
      <c r="AR758" s="77"/>
    </row>
    <row r="759" ht="15.75" customHeight="1">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c r="AB759" s="77"/>
      <c r="AC759" s="77"/>
      <c r="AD759" s="77"/>
      <c r="AE759" s="77"/>
      <c r="AF759" s="77"/>
      <c r="AG759" s="77"/>
      <c r="AH759" s="77"/>
      <c r="AI759" s="77"/>
      <c r="AJ759" s="77"/>
      <c r="AK759" s="77"/>
      <c r="AL759" s="77"/>
      <c r="AM759" s="77"/>
      <c r="AN759" s="77"/>
      <c r="AO759" s="77"/>
      <c r="AP759" s="77"/>
      <c r="AQ759" s="77"/>
      <c r="AR759" s="77"/>
    </row>
    <row r="760" ht="15.75" customHeight="1">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c r="AB760" s="77"/>
      <c r="AC760" s="77"/>
      <c r="AD760" s="77"/>
      <c r="AE760" s="77"/>
      <c r="AF760" s="77"/>
      <c r="AG760" s="77"/>
      <c r="AH760" s="77"/>
      <c r="AI760" s="77"/>
      <c r="AJ760" s="77"/>
      <c r="AK760" s="77"/>
      <c r="AL760" s="77"/>
      <c r="AM760" s="77"/>
      <c r="AN760" s="77"/>
      <c r="AO760" s="77"/>
      <c r="AP760" s="77"/>
      <c r="AQ760" s="77"/>
      <c r="AR760" s="77"/>
    </row>
    <row r="761" ht="15.75" customHeight="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c r="AB761" s="77"/>
      <c r="AC761" s="77"/>
      <c r="AD761" s="77"/>
      <c r="AE761" s="77"/>
      <c r="AF761" s="77"/>
      <c r="AG761" s="77"/>
      <c r="AH761" s="77"/>
      <c r="AI761" s="77"/>
      <c r="AJ761" s="77"/>
      <c r="AK761" s="77"/>
      <c r="AL761" s="77"/>
      <c r="AM761" s="77"/>
      <c r="AN761" s="77"/>
      <c r="AO761" s="77"/>
      <c r="AP761" s="77"/>
      <c r="AQ761" s="77"/>
      <c r="AR761" s="77"/>
    </row>
    <row r="762" ht="15.75" customHeight="1">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c r="AB762" s="77"/>
      <c r="AC762" s="77"/>
      <c r="AD762" s="77"/>
      <c r="AE762" s="77"/>
      <c r="AF762" s="77"/>
      <c r="AG762" s="77"/>
      <c r="AH762" s="77"/>
      <c r="AI762" s="77"/>
      <c r="AJ762" s="77"/>
      <c r="AK762" s="77"/>
      <c r="AL762" s="77"/>
      <c r="AM762" s="77"/>
      <c r="AN762" s="77"/>
      <c r="AO762" s="77"/>
      <c r="AP762" s="77"/>
      <c r="AQ762" s="77"/>
      <c r="AR762" s="77"/>
    </row>
    <row r="763" ht="15.75" customHeight="1">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c r="AB763" s="77"/>
      <c r="AC763" s="77"/>
      <c r="AD763" s="77"/>
      <c r="AE763" s="77"/>
      <c r="AF763" s="77"/>
      <c r="AG763" s="77"/>
      <c r="AH763" s="77"/>
      <c r="AI763" s="77"/>
      <c r="AJ763" s="77"/>
      <c r="AK763" s="77"/>
      <c r="AL763" s="77"/>
      <c r="AM763" s="77"/>
      <c r="AN763" s="77"/>
      <c r="AO763" s="77"/>
      <c r="AP763" s="77"/>
      <c r="AQ763" s="77"/>
      <c r="AR763" s="77"/>
    </row>
    <row r="764" ht="15.75" customHeight="1">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c r="AB764" s="77"/>
      <c r="AC764" s="77"/>
      <c r="AD764" s="77"/>
      <c r="AE764" s="77"/>
      <c r="AF764" s="77"/>
      <c r="AG764" s="77"/>
      <c r="AH764" s="77"/>
      <c r="AI764" s="77"/>
      <c r="AJ764" s="77"/>
      <c r="AK764" s="77"/>
      <c r="AL764" s="77"/>
      <c r="AM764" s="77"/>
      <c r="AN764" s="77"/>
      <c r="AO764" s="77"/>
      <c r="AP764" s="77"/>
      <c r="AQ764" s="77"/>
      <c r="AR764" s="77"/>
    </row>
    <row r="765" ht="15.75" customHeight="1">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c r="AB765" s="77"/>
      <c r="AC765" s="77"/>
      <c r="AD765" s="77"/>
      <c r="AE765" s="77"/>
      <c r="AF765" s="77"/>
      <c r="AG765" s="77"/>
      <c r="AH765" s="77"/>
      <c r="AI765" s="77"/>
      <c r="AJ765" s="77"/>
      <c r="AK765" s="77"/>
      <c r="AL765" s="77"/>
      <c r="AM765" s="77"/>
      <c r="AN765" s="77"/>
      <c r="AO765" s="77"/>
      <c r="AP765" s="77"/>
      <c r="AQ765" s="77"/>
      <c r="AR765" s="77"/>
    </row>
    <row r="766" ht="15.75" customHeight="1">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c r="AB766" s="77"/>
      <c r="AC766" s="77"/>
      <c r="AD766" s="77"/>
      <c r="AE766" s="77"/>
      <c r="AF766" s="77"/>
      <c r="AG766" s="77"/>
      <c r="AH766" s="77"/>
      <c r="AI766" s="77"/>
      <c r="AJ766" s="77"/>
      <c r="AK766" s="77"/>
      <c r="AL766" s="77"/>
      <c r="AM766" s="77"/>
      <c r="AN766" s="77"/>
      <c r="AO766" s="77"/>
      <c r="AP766" s="77"/>
      <c r="AQ766" s="77"/>
      <c r="AR766" s="77"/>
    </row>
    <row r="767" ht="15.75" customHeight="1">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c r="AB767" s="77"/>
      <c r="AC767" s="77"/>
      <c r="AD767" s="77"/>
      <c r="AE767" s="77"/>
      <c r="AF767" s="77"/>
      <c r="AG767" s="77"/>
      <c r="AH767" s="77"/>
      <c r="AI767" s="77"/>
      <c r="AJ767" s="77"/>
      <c r="AK767" s="77"/>
      <c r="AL767" s="77"/>
      <c r="AM767" s="77"/>
      <c r="AN767" s="77"/>
      <c r="AO767" s="77"/>
      <c r="AP767" s="77"/>
      <c r="AQ767" s="77"/>
      <c r="AR767" s="77"/>
    </row>
    <row r="768" ht="15.75" customHeight="1">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c r="AB768" s="77"/>
      <c r="AC768" s="77"/>
      <c r="AD768" s="77"/>
      <c r="AE768" s="77"/>
      <c r="AF768" s="77"/>
      <c r="AG768" s="77"/>
      <c r="AH768" s="77"/>
      <c r="AI768" s="77"/>
      <c r="AJ768" s="77"/>
      <c r="AK768" s="77"/>
      <c r="AL768" s="77"/>
      <c r="AM768" s="77"/>
      <c r="AN768" s="77"/>
      <c r="AO768" s="77"/>
      <c r="AP768" s="77"/>
      <c r="AQ768" s="77"/>
      <c r="AR768" s="77"/>
    </row>
    <row r="769" ht="15.75" customHeight="1">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c r="AB769" s="77"/>
      <c r="AC769" s="77"/>
      <c r="AD769" s="77"/>
      <c r="AE769" s="77"/>
      <c r="AF769" s="77"/>
      <c r="AG769" s="77"/>
      <c r="AH769" s="77"/>
      <c r="AI769" s="77"/>
      <c r="AJ769" s="77"/>
      <c r="AK769" s="77"/>
      <c r="AL769" s="77"/>
      <c r="AM769" s="77"/>
      <c r="AN769" s="77"/>
      <c r="AO769" s="77"/>
      <c r="AP769" s="77"/>
      <c r="AQ769" s="77"/>
      <c r="AR769" s="77"/>
    </row>
    <row r="770" ht="15.75" customHeight="1">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c r="AB770" s="77"/>
      <c r="AC770" s="77"/>
      <c r="AD770" s="77"/>
      <c r="AE770" s="77"/>
      <c r="AF770" s="77"/>
      <c r="AG770" s="77"/>
      <c r="AH770" s="77"/>
      <c r="AI770" s="77"/>
      <c r="AJ770" s="77"/>
      <c r="AK770" s="77"/>
      <c r="AL770" s="77"/>
      <c r="AM770" s="77"/>
      <c r="AN770" s="77"/>
      <c r="AO770" s="77"/>
      <c r="AP770" s="77"/>
      <c r="AQ770" s="77"/>
      <c r="AR770" s="77"/>
    </row>
    <row r="771" ht="15.75" customHeight="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c r="AB771" s="77"/>
      <c r="AC771" s="77"/>
      <c r="AD771" s="77"/>
      <c r="AE771" s="77"/>
      <c r="AF771" s="77"/>
      <c r="AG771" s="77"/>
      <c r="AH771" s="77"/>
      <c r="AI771" s="77"/>
      <c r="AJ771" s="77"/>
      <c r="AK771" s="77"/>
      <c r="AL771" s="77"/>
      <c r="AM771" s="77"/>
      <c r="AN771" s="77"/>
      <c r="AO771" s="77"/>
      <c r="AP771" s="77"/>
      <c r="AQ771" s="77"/>
      <c r="AR771" s="77"/>
    </row>
    <row r="772" ht="15.75" customHeight="1">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c r="AB772" s="77"/>
      <c r="AC772" s="77"/>
      <c r="AD772" s="77"/>
      <c r="AE772" s="77"/>
      <c r="AF772" s="77"/>
      <c r="AG772" s="77"/>
      <c r="AH772" s="77"/>
      <c r="AI772" s="77"/>
      <c r="AJ772" s="77"/>
      <c r="AK772" s="77"/>
      <c r="AL772" s="77"/>
      <c r="AM772" s="77"/>
      <c r="AN772" s="77"/>
      <c r="AO772" s="77"/>
      <c r="AP772" s="77"/>
      <c r="AQ772" s="77"/>
      <c r="AR772" s="77"/>
    </row>
    <row r="773" ht="15.75" customHeight="1">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c r="AB773" s="77"/>
      <c r="AC773" s="77"/>
      <c r="AD773" s="77"/>
      <c r="AE773" s="77"/>
      <c r="AF773" s="77"/>
      <c r="AG773" s="77"/>
      <c r="AH773" s="77"/>
      <c r="AI773" s="77"/>
      <c r="AJ773" s="77"/>
      <c r="AK773" s="77"/>
      <c r="AL773" s="77"/>
      <c r="AM773" s="77"/>
      <c r="AN773" s="77"/>
      <c r="AO773" s="77"/>
      <c r="AP773" s="77"/>
      <c r="AQ773" s="77"/>
      <c r="AR773" s="77"/>
    </row>
    <row r="774" ht="15.75" customHeight="1">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c r="AB774" s="77"/>
      <c r="AC774" s="77"/>
      <c r="AD774" s="77"/>
      <c r="AE774" s="77"/>
      <c r="AF774" s="77"/>
      <c r="AG774" s="77"/>
      <c r="AH774" s="77"/>
      <c r="AI774" s="77"/>
      <c r="AJ774" s="77"/>
      <c r="AK774" s="77"/>
      <c r="AL774" s="77"/>
      <c r="AM774" s="77"/>
      <c r="AN774" s="77"/>
      <c r="AO774" s="77"/>
      <c r="AP774" s="77"/>
      <c r="AQ774" s="77"/>
      <c r="AR774" s="77"/>
    </row>
    <row r="775" ht="15.75" customHeight="1">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c r="AB775" s="77"/>
      <c r="AC775" s="77"/>
      <c r="AD775" s="77"/>
      <c r="AE775" s="77"/>
      <c r="AF775" s="77"/>
      <c r="AG775" s="77"/>
      <c r="AH775" s="77"/>
      <c r="AI775" s="77"/>
      <c r="AJ775" s="77"/>
      <c r="AK775" s="77"/>
      <c r="AL775" s="77"/>
      <c r="AM775" s="77"/>
      <c r="AN775" s="77"/>
      <c r="AO775" s="77"/>
      <c r="AP775" s="77"/>
      <c r="AQ775" s="77"/>
      <c r="AR775" s="77"/>
    </row>
    <row r="776" ht="15.75" customHeight="1">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c r="AB776" s="77"/>
      <c r="AC776" s="77"/>
      <c r="AD776" s="77"/>
      <c r="AE776" s="77"/>
      <c r="AF776" s="77"/>
      <c r="AG776" s="77"/>
      <c r="AH776" s="77"/>
      <c r="AI776" s="77"/>
      <c r="AJ776" s="77"/>
      <c r="AK776" s="77"/>
      <c r="AL776" s="77"/>
      <c r="AM776" s="77"/>
      <c r="AN776" s="77"/>
      <c r="AO776" s="77"/>
      <c r="AP776" s="77"/>
      <c r="AQ776" s="77"/>
      <c r="AR776" s="77"/>
    </row>
    <row r="777" ht="15.75" customHeight="1">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c r="AB777" s="77"/>
      <c r="AC777" s="77"/>
      <c r="AD777" s="77"/>
      <c r="AE777" s="77"/>
      <c r="AF777" s="77"/>
      <c r="AG777" s="77"/>
      <c r="AH777" s="77"/>
      <c r="AI777" s="77"/>
      <c r="AJ777" s="77"/>
      <c r="AK777" s="77"/>
      <c r="AL777" s="77"/>
      <c r="AM777" s="77"/>
      <c r="AN777" s="77"/>
      <c r="AO777" s="77"/>
      <c r="AP777" s="77"/>
      <c r="AQ777" s="77"/>
      <c r="AR777" s="77"/>
    </row>
    <row r="778" ht="15.75" customHeight="1">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c r="AB778" s="77"/>
      <c r="AC778" s="77"/>
      <c r="AD778" s="77"/>
      <c r="AE778" s="77"/>
      <c r="AF778" s="77"/>
      <c r="AG778" s="77"/>
      <c r="AH778" s="77"/>
      <c r="AI778" s="77"/>
      <c r="AJ778" s="77"/>
      <c r="AK778" s="77"/>
      <c r="AL778" s="77"/>
      <c r="AM778" s="77"/>
      <c r="AN778" s="77"/>
      <c r="AO778" s="77"/>
      <c r="AP778" s="77"/>
      <c r="AQ778" s="77"/>
      <c r="AR778" s="77"/>
    </row>
    <row r="779" ht="15.75" customHeight="1">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c r="AB779" s="77"/>
      <c r="AC779" s="77"/>
      <c r="AD779" s="77"/>
      <c r="AE779" s="77"/>
      <c r="AF779" s="77"/>
      <c r="AG779" s="77"/>
      <c r="AH779" s="77"/>
      <c r="AI779" s="77"/>
      <c r="AJ779" s="77"/>
      <c r="AK779" s="77"/>
      <c r="AL779" s="77"/>
      <c r="AM779" s="77"/>
      <c r="AN779" s="77"/>
      <c r="AO779" s="77"/>
      <c r="AP779" s="77"/>
      <c r="AQ779" s="77"/>
      <c r="AR779" s="77"/>
    </row>
    <row r="780" ht="15.75" customHeight="1">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c r="AB780" s="77"/>
      <c r="AC780" s="77"/>
      <c r="AD780" s="77"/>
      <c r="AE780" s="77"/>
      <c r="AF780" s="77"/>
      <c r="AG780" s="77"/>
      <c r="AH780" s="77"/>
      <c r="AI780" s="77"/>
      <c r="AJ780" s="77"/>
      <c r="AK780" s="77"/>
      <c r="AL780" s="77"/>
      <c r="AM780" s="77"/>
      <c r="AN780" s="77"/>
      <c r="AO780" s="77"/>
      <c r="AP780" s="77"/>
      <c r="AQ780" s="77"/>
      <c r="AR780" s="77"/>
    </row>
    <row r="781" ht="15.75" customHeight="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c r="AI781" s="77"/>
      <c r="AJ781" s="77"/>
      <c r="AK781" s="77"/>
      <c r="AL781" s="77"/>
      <c r="AM781" s="77"/>
      <c r="AN781" s="77"/>
      <c r="AO781" s="77"/>
      <c r="AP781" s="77"/>
      <c r="AQ781" s="77"/>
      <c r="AR781" s="77"/>
    </row>
    <row r="782" ht="15.75" customHeight="1">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c r="AB782" s="77"/>
      <c r="AC782" s="77"/>
      <c r="AD782" s="77"/>
      <c r="AE782" s="77"/>
      <c r="AF782" s="77"/>
      <c r="AG782" s="77"/>
      <c r="AH782" s="77"/>
      <c r="AI782" s="77"/>
      <c r="AJ782" s="77"/>
      <c r="AK782" s="77"/>
      <c r="AL782" s="77"/>
      <c r="AM782" s="77"/>
      <c r="AN782" s="77"/>
      <c r="AO782" s="77"/>
      <c r="AP782" s="77"/>
      <c r="AQ782" s="77"/>
      <c r="AR782" s="77"/>
    </row>
    <row r="783" ht="15.75" customHeight="1">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c r="AH783" s="77"/>
      <c r="AI783" s="77"/>
      <c r="AJ783" s="77"/>
      <c r="AK783" s="77"/>
      <c r="AL783" s="77"/>
      <c r="AM783" s="77"/>
      <c r="AN783" s="77"/>
      <c r="AO783" s="77"/>
      <c r="AP783" s="77"/>
      <c r="AQ783" s="77"/>
      <c r="AR783" s="77"/>
    </row>
    <row r="784" ht="15.75" customHeight="1">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c r="AB784" s="77"/>
      <c r="AC784" s="77"/>
      <c r="AD784" s="77"/>
      <c r="AE784" s="77"/>
      <c r="AF784" s="77"/>
      <c r="AG784" s="77"/>
      <c r="AH784" s="77"/>
      <c r="AI784" s="77"/>
      <c r="AJ784" s="77"/>
      <c r="AK784" s="77"/>
      <c r="AL784" s="77"/>
      <c r="AM784" s="77"/>
      <c r="AN784" s="77"/>
      <c r="AO784" s="77"/>
      <c r="AP784" s="77"/>
      <c r="AQ784" s="77"/>
      <c r="AR784" s="77"/>
    </row>
    <row r="785" ht="15.75" customHeight="1">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c r="AB785" s="77"/>
      <c r="AC785" s="77"/>
      <c r="AD785" s="77"/>
      <c r="AE785" s="77"/>
      <c r="AF785" s="77"/>
      <c r="AG785" s="77"/>
      <c r="AH785" s="77"/>
      <c r="AI785" s="77"/>
      <c r="AJ785" s="77"/>
      <c r="AK785" s="77"/>
      <c r="AL785" s="77"/>
      <c r="AM785" s="77"/>
      <c r="AN785" s="77"/>
      <c r="AO785" s="77"/>
      <c r="AP785" s="77"/>
      <c r="AQ785" s="77"/>
      <c r="AR785" s="77"/>
    </row>
    <row r="786" ht="15.75" customHeight="1">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c r="AB786" s="77"/>
      <c r="AC786" s="77"/>
      <c r="AD786" s="77"/>
      <c r="AE786" s="77"/>
      <c r="AF786" s="77"/>
      <c r="AG786" s="77"/>
      <c r="AH786" s="77"/>
      <c r="AI786" s="77"/>
      <c r="AJ786" s="77"/>
      <c r="AK786" s="77"/>
      <c r="AL786" s="77"/>
      <c r="AM786" s="77"/>
      <c r="AN786" s="77"/>
      <c r="AO786" s="77"/>
      <c r="AP786" s="77"/>
      <c r="AQ786" s="77"/>
      <c r="AR786" s="77"/>
    </row>
    <row r="787" ht="15.75" customHeight="1">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c r="AB787" s="77"/>
      <c r="AC787" s="77"/>
      <c r="AD787" s="77"/>
      <c r="AE787" s="77"/>
      <c r="AF787" s="77"/>
      <c r="AG787" s="77"/>
      <c r="AH787" s="77"/>
      <c r="AI787" s="77"/>
      <c r="AJ787" s="77"/>
      <c r="AK787" s="77"/>
      <c r="AL787" s="77"/>
      <c r="AM787" s="77"/>
      <c r="AN787" s="77"/>
      <c r="AO787" s="77"/>
      <c r="AP787" s="77"/>
      <c r="AQ787" s="77"/>
      <c r="AR787" s="77"/>
    </row>
    <row r="788" ht="15.75" customHeight="1">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c r="AB788" s="77"/>
      <c r="AC788" s="77"/>
      <c r="AD788" s="77"/>
      <c r="AE788" s="77"/>
      <c r="AF788" s="77"/>
      <c r="AG788" s="77"/>
      <c r="AH788" s="77"/>
      <c r="AI788" s="77"/>
      <c r="AJ788" s="77"/>
      <c r="AK788" s="77"/>
      <c r="AL788" s="77"/>
      <c r="AM788" s="77"/>
      <c r="AN788" s="77"/>
      <c r="AO788" s="77"/>
      <c r="AP788" s="77"/>
      <c r="AQ788" s="77"/>
      <c r="AR788" s="77"/>
    </row>
    <row r="789" ht="15.75" customHeight="1">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c r="AB789" s="77"/>
      <c r="AC789" s="77"/>
      <c r="AD789" s="77"/>
      <c r="AE789" s="77"/>
      <c r="AF789" s="77"/>
      <c r="AG789" s="77"/>
      <c r="AH789" s="77"/>
      <c r="AI789" s="77"/>
      <c r="AJ789" s="77"/>
      <c r="AK789" s="77"/>
      <c r="AL789" s="77"/>
      <c r="AM789" s="77"/>
      <c r="AN789" s="77"/>
      <c r="AO789" s="77"/>
      <c r="AP789" s="77"/>
      <c r="AQ789" s="77"/>
      <c r="AR789" s="77"/>
    </row>
    <row r="790" ht="15.75" customHeight="1">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c r="AB790" s="77"/>
      <c r="AC790" s="77"/>
      <c r="AD790" s="77"/>
      <c r="AE790" s="77"/>
      <c r="AF790" s="77"/>
      <c r="AG790" s="77"/>
      <c r="AH790" s="77"/>
      <c r="AI790" s="77"/>
      <c r="AJ790" s="77"/>
      <c r="AK790" s="77"/>
      <c r="AL790" s="77"/>
      <c r="AM790" s="77"/>
      <c r="AN790" s="77"/>
      <c r="AO790" s="77"/>
      <c r="AP790" s="77"/>
      <c r="AQ790" s="77"/>
      <c r="AR790" s="77"/>
    </row>
    <row r="791" ht="15.75" customHeight="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c r="AB791" s="77"/>
      <c r="AC791" s="77"/>
      <c r="AD791" s="77"/>
      <c r="AE791" s="77"/>
      <c r="AF791" s="77"/>
      <c r="AG791" s="77"/>
      <c r="AH791" s="77"/>
      <c r="AI791" s="77"/>
      <c r="AJ791" s="77"/>
      <c r="AK791" s="77"/>
      <c r="AL791" s="77"/>
      <c r="AM791" s="77"/>
      <c r="AN791" s="77"/>
      <c r="AO791" s="77"/>
      <c r="AP791" s="77"/>
      <c r="AQ791" s="77"/>
      <c r="AR791" s="77"/>
    </row>
    <row r="792" ht="15.75" customHeight="1">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c r="AB792" s="77"/>
      <c r="AC792" s="77"/>
      <c r="AD792" s="77"/>
      <c r="AE792" s="77"/>
      <c r="AF792" s="77"/>
      <c r="AG792" s="77"/>
      <c r="AH792" s="77"/>
      <c r="AI792" s="77"/>
      <c r="AJ792" s="77"/>
      <c r="AK792" s="77"/>
      <c r="AL792" s="77"/>
      <c r="AM792" s="77"/>
      <c r="AN792" s="77"/>
      <c r="AO792" s="77"/>
      <c r="AP792" s="77"/>
      <c r="AQ792" s="77"/>
      <c r="AR792" s="77"/>
    </row>
    <row r="793" ht="15.75" customHeight="1">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c r="AB793" s="77"/>
      <c r="AC793" s="77"/>
      <c r="AD793" s="77"/>
      <c r="AE793" s="77"/>
      <c r="AF793" s="77"/>
      <c r="AG793" s="77"/>
      <c r="AH793" s="77"/>
      <c r="AI793" s="77"/>
      <c r="AJ793" s="77"/>
      <c r="AK793" s="77"/>
      <c r="AL793" s="77"/>
      <c r="AM793" s="77"/>
      <c r="AN793" s="77"/>
      <c r="AO793" s="77"/>
      <c r="AP793" s="77"/>
      <c r="AQ793" s="77"/>
      <c r="AR793" s="77"/>
    </row>
    <row r="794" ht="15.75" customHeight="1">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c r="AB794" s="77"/>
      <c r="AC794" s="77"/>
      <c r="AD794" s="77"/>
      <c r="AE794" s="77"/>
      <c r="AF794" s="77"/>
      <c r="AG794" s="77"/>
      <c r="AH794" s="77"/>
      <c r="AI794" s="77"/>
      <c r="AJ794" s="77"/>
      <c r="AK794" s="77"/>
      <c r="AL794" s="77"/>
      <c r="AM794" s="77"/>
      <c r="AN794" s="77"/>
      <c r="AO794" s="77"/>
      <c r="AP794" s="77"/>
      <c r="AQ794" s="77"/>
      <c r="AR794" s="77"/>
    </row>
    <row r="795" ht="15.75" customHeight="1">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c r="AB795" s="77"/>
      <c r="AC795" s="77"/>
      <c r="AD795" s="77"/>
      <c r="AE795" s="77"/>
      <c r="AF795" s="77"/>
      <c r="AG795" s="77"/>
      <c r="AH795" s="77"/>
      <c r="AI795" s="77"/>
      <c r="AJ795" s="77"/>
      <c r="AK795" s="77"/>
      <c r="AL795" s="77"/>
      <c r="AM795" s="77"/>
      <c r="AN795" s="77"/>
      <c r="AO795" s="77"/>
      <c r="AP795" s="77"/>
      <c r="AQ795" s="77"/>
      <c r="AR795" s="77"/>
    </row>
    <row r="796" ht="15.75" customHeight="1">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c r="AB796" s="77"/>
      <c r="AC796" s="77"/>
      <c r="AD796" s="77"/>
      <c r="AE796" s="77"/>
      <c r="AF796" s="77"/>
      <c r="AG796" s="77"/>
      <c r="AH796" s="77"/>
      <c r="AI796" s="77"/>
      <c r="AJ796" s="77"/>
      <c r="AK796" s="77"/>
      <c r="AL796" s="77"/>
      <c r="AM796" s="77"/>
      <c r="AN796" s="77"/>
      <c r="AO796" s="77"/>
      <c r="AP796" s="77"/>
      <c r="AQ796" s="77"/>
      <c r="AR796" s="77"/>
    </row>
    <row r="797" ht="15.75" customHeight="1">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c r="AB797" s="77"/>
      <c r="AC797" s="77"/>
      <c r="AD797" s="77"/>
      <c r="AE797" s="77"/>
      <c r="AF797" s="77"/>
      <c r="AG797" s="77"/>
      <c r="AH797" s="77"/>
      <c r="AI797" s="77"/>
      <c r="AJ797" s="77"/>
      <c r="AK797" s="77"/>
      <c r="AL797" s="77"/>
      <c r="AM797" s="77"/>
      <c r="AN797" s="77"/>
      <c r="AO797" s="77"/>
      <c r="AP797" s="77"/>
      <c r="AQ797" s="77"/>
      <c r="AR797" s="77"/>
    </row>
    <row r="798" ht="15.75" customHeight="1">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c r="AB798" s="77"/>
      <c r="AC798" s="77"/>
      <c r="AD798" s="77"/>
      <c r="AE798" s="77"/>
      <c r="AF798" s="77"/>
      <c r="AG798" s="77"/>
      <c r="AH798" s="77"/>
      <c r="AI798" s="77"/>
      <c r="AJ798" s="77"/>
      <c r="AK798" s="77"/>
      <c r="AL798" s="77"/>
      <c r="AM798" s="77"/>
      <c r="AN798" s="77"/>
      <c r="AO798" s="77"/>
      <c r="AP798" s="77"/>
      <c r="AQ798" s="77"/>
      <c r="AR798" s="77"/>
    </row>
    <row r="799" ht="15.75" customHeight="1">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c r="AB799" s="77"/>
      <c r="AC799" s="77"/>
      <c r="AD799" s="77"/>
      <c r="AE799" s="77"/>
      <c r="AF799" s="77"/>
      <c r="AG799" s="77"/>
      <c r="AH799" s="77"/>
      <c r="AI799" s="77"/>
      <c r="AJ799" s="77"/>
      <c r="AK799" s="77"/>
      <c r="AL799" s="77"/>
      <c r="AM799" s="77"/>
      <c r="AN799" s="77"/>
      <c r="AO799" s="77"/>
      <c r="AP799" s="77"/>
      <c r="AQ799" s="77"/>
      <c r="AR799" s="77"/>
    </row>
    <row r="800" ht="15.75" customHeight="1">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c r="AB800" s="77"/>
      <c r="AC800" s="77"/>
      <c r="AD800" s="77"/>
      <c r="AE800" s="77"/>
      <c r="AF800" s="77"/>
      <c r="AG800" s="77"/>
      <c r="AH800" s="77"/>
      <c r="AI800" s="77"/>
      <c r="AJ800" s="77"/>
      <c r="AK800" s="77"/>
      <c r="AL800" s="77"/>
      <c r="AM800" s="77"/>
      <c r="AN800" s="77"/>
      <c r="AO800" s="77"/>
      <c r="AP800" s="77"/>
      <c r="AQ800" s="77"/>
      <c r="AR800" s="77"/>
    </row>
    <row r="801" ht="15.75" customHeight="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c r="AB801" s="77"/>
      <c r="AC801" s="77"/>
      <c r="AD801" s="77"/>
      <c r="AE801" s="77"/>
      <c r="AF801" s="77"/>
      <c r="AG801" s="77"/>
      <c r="AH801" s="77"/>
      <c r="AI801" s="77"/>
      <c r="AJ801" s="77"/>
      <c r="AK801" s="77"/>
      <c r="AL801" s="77"/>
      <c r="AM801" s="77"/>
      <c r="AN801" s="77"/>
      <c r="AO801" s="77"/>
      <c r="AP801" s="77"/>
      <c r="AQ801" s="77"/>
      <c r="AR801" s="77"/>
    </row>
    <row r="802" ht="15.75" customHeight="1">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c r="AB802" s="77"/>
      <c r="AC802" s="77"/>
      <c r="AD802" s="77"/>
      <c r="AE802" s="77"/>
      <c r="AF802" s="77"/>
      <c r="AG802" s="77"/>
      <c r="AH802" s="77"/>
      <c r="AI802" s="77"/>
      <c r="AJ802" s="77"/>
      <c r="AK802" s="77"/>
      <c r="AL802" s="77"/>
      <c r="AM802" s="77"/>
      <c r="AN802" s="77"/>
      <c r="AO802" s="77"/>
      <c r="AP802" s="77"/>
      <c r="AQ802" s="77"/>
      <c r="AR802" s="77"/>
    </row>
    <row r="803" ht="15.75" customHeight="1">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c r="AB803" s="77"/>
      <c r="AC803" s="77"/>
      <c r="AD803" s="77"/>
      <c r="AE803" s="77"/>
      <c r="AF803" s="77"/>
      <c r="AG803" s="77"/>
      <c r="AH803" s="77"/>
      <c r="AI803" s="77"/>
      <c r="AJ803" s="77"/>
      <c r="AK803" s="77"/>
      <c r="AL803" s="77"/>
      <c r="AM803" s="77"/>
      <c r="AN803" s="77"/>
      <c r="AO803" s="77"/>
      <c r="AP803" s="77"/>
      <c r="AQ803" s="77"/>
      <c r="AR803" s="77"/>
    </row>
    <row r="804" ht="15.75" customHeight="1">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c r="AB804" s="77"/>
      <c r="AC804" s="77"/>
      <c r="AD804" s="77"/>
      <c r="AE804" s="77"/>
      <c r="AF804" s="77"/>
      <c r="AG804" s="77"/>
      <c r="AH804" s="77"/>
      <c r="AI804" s="77"/>
      <c r="AJ804" s="77"/>
      <c r="AK804" s="77"/>
      <c r="AL804" s="77"/>
      <c r="AM804" s="77"/>
      <c r="AN804" s="77"/>
      <c r="AO804" s="77"/>
      <c r="AP804" s="77"/>
      <c r="AQ804" s="77"/>
      <c r="AR804" s="77"/>
    </row>
    <row r="805" ht="15.75" customHeight="1">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c r="AH805" s="77"/>
      <c r="AI805" s="77"/>
      <c r="AJ805" s="77"/>
      <c r="AK805" s="77"/>
      <c r="AL805" s="77"/>
      <c r="AM805" s="77"/>
      <c r="AN805" s="77"/>
      <c r="AO805" s="77"/>
      <c r="AP805" s="77"/>
      <c r="AQ805" s="77"/>
      <c r="AR805" s="77"/>
    </row>
    <row r="806" ht="15.75" customHeight="1">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c r="AH806" s="77"/>
      <c r="AI806" s="77"/>
      <c r="AJ806" s="77"/>
      <c r="AK806" s="77"/>
      <c r="AL806" s="77"/>
      <c r="AM806" s="77"/>
      <c r="AN806" s="77"/>
      <c r="AO806" s="77"/>
      <c r="AP806" s="77"/>
      <c r="AQ806" s="77"/>
      <c r="AR806" s="77"/>
    </row>
    <row r="807" ht="15.75" customHeight="1">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c r="AB807" s="77"/>
      <c r="AC807" s="77"/>
      <c r="AD807" s="77"/>
      <c r="AE807" s="77"/>
      <c r="AF807" s="77"/>
      <c r="AG807" s="77"/>
      <c r="AH807" s="77"/>
      <c r="AI807" s="77"/>
      <c r="AJ807" s="77"/>
      <c r="AK807" s="77"/>
      <c r="AL807" s="77"/>
      <c r="AM807" s="77"/>
      <c r="AN807" s="77"/>
      <c r="AO807" s="77"/>
      <c r="AP807" s="77"/>
      <c r="AQ807" s="77"/>
      <c r="AR807" s="77"/>
    </row>
    <row r="808" ht="15.75" customHeight="1">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c r="AB808" s="77"/>
      <c r="AC808" s="77"/>
      <c r="AD808" s="77"/>
      <c r="AE808" s="77"/>
      <c r="AF808" s="77"/>
      <c r="AG808" s="77"/>
      <c r="AH808" s="77"/>
      <c r="AI808" s="77"/>
      <c r="AJ808" s="77"/>
      <c r="AK808" s="77"/>
      <c r="AL808" s="77"/>
      <c r="AM808" s="77"/>
      <c r="AN808" s="77"/>
      <c r="AO808" s="77"/>
      <c r="AP808" s="77"/>
      <c r="AQ808" s="77"/>
      <c r="AR808" s="77"/>
    </row>
    <row r="809" ht="15.75" customHeight="1">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c r="AB809" s="77"/>
      <c r="AC809" s="77"/>
      <c r="AD809" s="77"/>
      <c r="AE809" s="77"/>
      <c r="AF809" s="77"/>
      <c r="AG809" s="77"/>
      <c r="AH809" s="77"/>
      <c r="AI809" s="77"/>
      <c r="AJ809" s="77"/>
      <c r="AK809" s="77"/>
      <c r="AL809" s="77"/>
      <c r="AM809" s="77"/>
      <c r="AN809" s="77"/>
      <c r="AO809" s="77"/>
      <c r="AP809" s="77"/>
      <c r="AQ809" s="77"/>
      <c r="AR809" s="77"/>
    </row>
    <row r="810" ht="15.75" customHeight="1">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c r="AB810" s="77"/>
      <c r="AC810" s="77"/>
      <c r="AD810" s="77"/>
      <c r="AE810" s="77"/>
      <c r="AF810" s="77"/>
      <c r="AG810" s="77"/>
      <c r="AH810" s="77"/>
      <c r="AI810" s="77"/>
      <c r="AJ810" s="77"/>
      <c r="AK810" s="77"/>
      <c r="AL810" s="77"/>
      <c r="AM810" s="77"/>
      <c r="AN810" s="77"/>
      <c r="AO810" s="77"/>
      <c r="AP810" s="77"/>
      <c r="AQ810" s="77"/>
      <c r="AR810" s="77"/>
    </row>
    <row r="811" ht="15.75" customHeight="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c r="AB811" s="77"/>
      <c r="AC811" s="77"/>
      <c r="AD811" s="77"/>
      <c r="AE811" s="77"/>
      <c r="AF811" s="77"/>
      <c r="AG811" s="77"/>
      <c r="AH811" s="77"/>
      <c r="AI811" s="77"/>
      <c r="AJ811" s="77"/>
      <c r="AK811" s="77"/>
      <c r="AL811" s="77"/>
      <c r="AM811" s="77"/>
      <c r="AN811" s="77"/>
      <c r="AO811" s="77"/>
      <c r="AP811" s="77"/>
      <c r="AQ811" s="77"/>
      <c r="AR811" s="77"/>
    </row>
    <row r="812" ht="15.75" customHeight="1">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c r="AB812" s="77"/>
      <c r="AC812" s="77"/>
      <c r="AD812" s="77"/>
      <c r="AE812" s="77"/>
      <c r="AF812" s="77"/>
      <c r="AG812" s="77"/>
      <c r="AH812" s="77"/>
      <c r="AI812" s="77"/>
      <c r="AJ812" s="77"/>
      <c r="AK812" s="77"/>
      <c r="AL812" s="77"/>
      <c r="AM812" s="77"/>
      <c r="AN812" s="77"/>
      <c r="AO812" s="77"/>
      <c r="AP812" s="77"/>
      <c r="AQ812" s="77"/>
      <c r="AR812" s="77"/>
    </row>
    <row r="813" ht="15.75" customHeight="1">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c r="AB813" s="77"/>
      <c r="AC813" s="77"/>
      <c r="AD813" s="77"/>
      <c r="AE813" s="77"/>
      <c r="AF813" s="77"/>
      <c r="AG813" s="77"/>
      <c r="AH813" s="77"/>
      <c r="AI813" s="77"/>
      <c r="AJ813" s="77"/>
      <c r="AK813" s="77"/>
      <c r="AL813" s="77"/>
      <c r="AM813" s="77"/>
      <c r="AN813" s="77"/>
      <c r="AO813" s="77"/>
      <c r="AP813" s="77"/>
      <c r="AQ813" s="77"/>
      <c r="AR813" s="77"/>
    </row>
    <row r="814" ht="15.75" customHeight="1">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c r="AB814" s="77"/>
      <c r="AC814" s="77"/>
      <c r="AD814" s="77"/>
      <c r="AE814" s="77"/>
      <c r="AF814" s="77"/>
      <c r="AG814" s="77"/>
      <c r="AH814" s="77"/>
      <c r="AI814" s="77"/>
      <c r="AJ814" s="77"/>
      <c r="AK814" s="77"/>
      <c r="AL814" s="77"/>
      <c r="AM814" s="77"/>
      <c r="AN814" s="77"/>
      <c r="AO814" s="77"/>
      <c r="AP814" s="77"/>
      <c r="AQ814" s="77"/>
      <c r="AR814" s="77"/>
    </row>
    <row r="815" ht="15.75" customHeight="1">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c r="AB815" s="77"/>
      <c r="AC815" s="77"/>
      <c r="AD815" s="77"/>
      <c r="AE815" s="77"/>
      <c r="AF815" s="77"/>
      <c r="AG815" s="77"/>
      <c r="AH815" s="77"/>
      <c r="AI815" s="77"/>
      <c r="AJ815" s="77"/>
      <c r="AK815" s="77"/>
      <c r="AL815" s="77"/>
      <c r="AM815" s="77"/>
      <c r="AN815" s="77"/>
      <c r="AO815" s="77"/>
      <c r="AP815" s="77"/>
      <c r="AQ815" s="77"/>
      <c r="AR815" s="77"/>
    </row>
    <row r="816" ht="15.75" customHeight="1">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c r="AB816" s="77"/>
      <c r="AC816" s="77"/>
      <c r="AD816" s="77"/>
      <c r="AE816" s="77"/>
      <c r="AF816" s="77"/>
      <c r="AG816" s="77"/>
      <c r="AH816" s="77"/>
      <c r="AI816" s="77"/>
      <c r="AJ816" s="77"/>
      <c r="AK816" s="77"/>
      <c r="AL816" s="77"/>
      <c r="AM816" s="77"/>
      <c r="AN816" s="77"/>
      <c r="AO816" s="77"/>
      <c r="AP816" s="77"/>
      <c r="AQ816" s="77"/>
      <c r="AR816" s="77"/>
    </row>
    <row r="817" ht="15.75" customHeight="1">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c r="AB817" s="77"/>
      <c r="AC817" s="77"/>
      <c r="AD817" s="77"/>
      <c r="AE817" s="77"/>
      <c r="AF817" s="77"/>
      <c r="AG817" s="77"/>
      <c r="AH817" s="77"/>
      <c r="AI817" s="77"/>
      <c r="AJ817" s="77"/>
      <c r="AK817" s="77"/>
      <c r="AL817" s="77"/>
      <c r="AM817" s="77"/>
      <c r="AN817" s="77"/>
      <c r="AO817" s="77"/>
      <c r="AP817" s="77"/>
      <c r="AQ817" s="77"/>
      <c r="AR817" s="77"/>
    </row>
    <row r="818" ht="15.75" customHeight="1">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c r="AB818" s="77"/>
      <c r="AC818" s="77"/>
      <c r="AD818" s="77"/>
      <c r="AE818" s="77"/>
      <c r="AF818" s="77"/>
      <c r="AG818" s="77"/>
      <c r="AH818" s="77"/>
      <c r="AI818" s="77"/>
      <c r="AJ818" s="77"/>
      <c r="AK818" s="77"/>
      <c r="AL818" s="77"/>
      <c r="AM818" s="77"/>
      <c r="AN818" s="77"/>
      <c r="AO818" s="77"/>
      <c r="AP818" s="77"/>
      <c r="AQ818" s="77"/>
      <c r="AR818" s="77"/>
    </row>
    <row r="819" ht="15.75" customHeight="1">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c r="AB819" s="77"/>
      <c r="AC819" s="77"/>
      <c r="AD819" s="77"/>
      <c r="AE819" s="77"/>
      <c r="AF819" s="77"/>
      <c r="AG819" s="77"/>
      <c r="AH819" s="77"/>
      <c r="AI819" s="77"/>
      <c r="AJ819" s="77"/>
      <c r="AK819" s="77"/>
      <c r="AL819" s="77"/>
      <c r="AM819" s="77"/>
      <c r="AN819" s="77"/>
      <c r="AO819" s="77"/>
      <c r="AP819" s="77"/>
      <c r="AQ819" s="77"/>
      <c r="AR819" s="77"/>
    </row>
    <row r="820" ht="15.75" customHeight="1">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c r="AB820" s="77"/>
      <c r="AC820" s="77"/>
      <c r="AD820" s="77"/>
      <c r="AE820" s="77"/>
      <c r="AF820" s="77"/>
      <c r="AG820" s="77"/>
      <c r="AH820" s="77"/>
      <c r="AI820" s="77"/>
      <c r="AJ820" s="77"/>
      <c r="AK820" s="77"/>
      <c r="AL820" s="77"/>
      <c r="AM820" s="77"/>
      <c r="AN820" s="77"/>
      <c r="AO820" s="77"/>
      <c r="AP820" s="77"/>
      <c r="AQ820" s="77"/>
      <c r="AR820" s="77"/>
    </row>
    <row r="821" ht="15.75" customHeight="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c r="AB821" s="77"/>
      <c r="AC821" s="77"/>
      <c r="AD821" s="77"/>
      <c r="AE821" s="77"/>
      <c r="AF821" s="77"/>
      <c r="AG821" s="77"/>
      <c r="AH821" s="77"/>
      <c r="AI821" s="77"/>
      <c r="AJ821" s="77"/>
      <c r="AK821" s="77"/>
      <c r="AL821" s="77"/>
      <c r="AM821" s="77"/>
      <c r="AN821" s="77"/>
      <c r="AO821" s="77"/>
      <c r="AP821" s="77"/>
      <c r="AQ821" s="77"/>
      <c r="AR821" s="77"/>
    </row>
    <row r="822" ht="15.75" customHeight="1">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c r="AB822" s="77"/>
      <c r="AC822" s="77"/>
      <c r="AD822" s="77"/>
      <c r="AE822" s="77"/>
      <c r="AF822" s="77"/>
      <c r="AG822" s="77"/>
      <c r="AH822" s="77"/>
      <c r="AI822" s="77"/>
      <c r="AJ822" s="77"/>
      <c r="AK822" s="77"/>
      <c r="AL822" s="77"/>
      <c r="AM822" s="77"/>
      <c r="AN822" s="77"/>
      <c r="AO822" s="77"/>
      <c r="AP822" s="77"/>
      <c r="AQ822" s="77"/>
      <c r="AR822" s="77"/>
    </row>
    <row r="823" ht="15.75" customHeight="1">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c r="AB823" s="77"/>
      <c r="AC823" s="77"/>
      <c r="AD823" s="77"/>
      <c r="AE823" s="77"/>
      <c r="AF823" s="77"/>
      <c r="AG823" s="77"/>
      <c r="AH823" s="77"/>
      <c r="AI823" s="77"/>
      <c r="AJ823" s="77"/>
      <c r="AK823" s="77"/>
      <c r="AL823" s="77"/>
      <c r="AM823" s="77"/>
      <c r="AN823" s="77"/>
      <c r="AO823" s="77"/>
      <c r="AP823" s="77"/>
      <c r="AQ823" s="77"/>
      <c r="AR823" s="77"/>
    </row>
    <row r="824" ht="15.75" customHeight="1">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c r="AB824" s="77"/>
      <c r="AC824" s="77"/>
      <c r="AD824" s="77"/>
      <c r="AE824" s="77"/>
      <c r="AF824" s="77"/>
      <c r="AG824" s="77"/>
      <c r="AH824" s="77"/>
      <c r="AI824" s="77"/>
      <c r="AJ824" s="77"/>
      <c r="AK824" s="77"/>
      <c r="AL824" s="77"/>
      <c r="AM824" s="77"/>
      <c r="AN824" s="77"/>
      <c r="AO824" s="77"/>
      <c r="AP824" s="77"/>
      <c r="AQ824" s="77"/>
      <c r="AR824" s="77"/>
    </row>
    <row r="825" ht="15.75" customHeight="1">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c r="AB825" s="77"/>
      <c r="AC825" s="77"/>
      <c r="AD825" s="77"/>
      <c r="AE825" s="77"/>
      <c r="AF825" s="77"/>
      <c r="AG825" s="77"/>
      <c r="AH825" s="77"/>
      <c r="AI825" s="77"/>
      <c r="AJ825" s="77"/>
      <c r="AK825" s="77"/>
      <c r="AL825" s="77"/>
      <c r="AM825" s="77"/>
      <c r="AN825" s="77"/>
      <c r="AO825" s="77"/>
      <c r="AP825" s="77"/>
      <c r="AQ825" s="77"/>
      <c r="AR825" s="77"/>
    </row>
    <row r="826" ht="15.75" customHeight="1">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c r="AB826" s="77"/>
      <c r="AC826" s="77"/>
      <c r="AD826" s="77"/>
      <c r="AE826" s="77"/>
      <c r="AF826" s="77"/>
      <c r="AG826" s="77"/>
      <c r="AH826" s="77"/>
      <c r="AI826" s="77"/>
      <c r="AJ826" s="77"/>
      <c r="AK826" s="77"/>
      <c r="AL826" s="77"/>
      <c r="AM826" s="77"/>
      <c r="AN826" s="77"/>
      <c r="AO826" s="77"/>
      <c r="AP826" s="77"/>
      <c r="AQ826" s="77"/>
      <c r="AR826" s="77"/>
    </row>
    <row r="827" ht="15.75" customHeight="1">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c r="AB827" s="77"/>
      <c r="AC827" s="77"/>
      <c r="AD827" s="77"/>
      <c r="AE827" s="77"/>
      <c r="AF827" s="77"/>
      <c r="AG827" s="77"/>
      <c r="AH827" s="77"/>
      <c r="AI827" s="77"/>
      <c r="AJ827" s="77"/>
      <c r="AK827" s="77"/>
      <c r="AL827" s="77"/>
      <c r="AM827" s="77"/>
      <c r="AN827" s="77"/>
      <c r="AO827" s="77"/>
      <c r="AP827" s="77"/>
      <c r="AQ827" s="77"/>
      <c r="AR827" s="77"/>
    </row>
    <row r="828" ht="15.75" customHeight="1">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c r="AB828" s="77"/>
      <c r="AC828" s="77"/>
      <c r="AD828" s="77"/>
      <c r="AE828" s="77"/>
      <c r="AF828" s="77"/>
      <c r="AG828" s="77"/>
      <c r="AH828" s="77"/>
      <c r="AI828" s="77"/>
      <c r="AJ828" s="77"/>
      <c r="AK828" s="77"/>
      <c r="AL828" s="77"/>
      <c r="AM828" s="77"/>
      <c r="AN828" s="77"/>
      <c r="AO828" s="77"/>
      <c r="AP828" s="77"/>
      <c r="AQ828" s="77"/>
      <c r="AR828" s="77"/>
    </row>
    <row r="829" ht="15.75" customHeight="1">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c r="AH829" s="77"/>
      <c r="AI829" s="77"/>
      <c r="AJ829" s="77"/>
      <c r="AK829" s="77"/>
      <c r="AL829" s="77"/>
      <c r="AM829" s="77"/>
      <c r="AN829" s="77"/>
      <c r="AO829" s="77"/>
      <c r="AP829" s="77"/>
      <c r="AQ829" s="77"/>
      <c r="AR829" s="77"/>
    </row>
    <row r="830" ht="15.75" customHeight="1">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c r="AB830" s="77"/>
      <c r="AC830" s="77"/>
      <c r="AD830" s="77"/>
      <c r="AE830" s="77"/>
      <c r="AF830" s="77"/>
      <c r="AG830" s="77"/>
      <c r="AH830" s="77"/>
      <c r="AI830" s="77"/>
      <c r="AJ830" s="77"/>
      <c r="AK830" s="77"/>
      <c r="AL830" s="77"/>
      <c r="AM830" s="77"/>
      <c r="AN830" s="77"/>
      <c r="AO830" s="77"/>
      <c r="AP830" s="77"/>
      <c r="AQ830" s="77"/>
      <c r="AR830" s="77"/>
    </row>
    <row r="831" ht="15.75" customHeight="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c r="AB831" s="77"/>
      <c r="AC831" s="77"/>
      <c r="AD831" s="77"/>
      <c r="AE831" s="77"/>
      <c r="AF831" s="77"/>
      <c r="AG831" s="77"/>
      <c r="AH831" s="77"/>
      <c r="AI831" s="77"/>
      <c r="AJ831" s="77"/>
      <c r="AK831" s="77"/>
      <c r="AL831" s="77"/>
      <c r="AM831" s="77"/>
      <c r="AN831" s="77"/>
      <c r="AO831" s="77"/>
      <c r="AP831" s="77"/>
      <c r="AQ831" s="77"/>
      <c r="AR831" s="77"/>
    </row>
    <row r="832" ht="15.75" customHeight="1">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c r="AB832" s="77"/>
      <c r="AC832" s="77"/>
      <c r="AD832" s="77"/>
      <c r="AE832" s="77"/>
      <c r="AF832" s="77"/>
      <c r="AG832" s="77"/>
      <c r="AH832" s="77"/>
      <c r="AI832" s="77"/>
      <c r="AJ832" s="77"/>
      <c r="AK832" s="77"/>
      <c r="AL832" s="77"/>
      <c r="AM832" s="77"/>
      <c r="AN832" s="77"/>
      <c r="AO832" s="77"/>
      <c r="AP832" s="77"/>
      <c r="AQ832" s="77"/>
      <c r="AR832" s="77"/>
    </row>
    <row r="833" ht="15.75" customHeight="1">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c r="AB833" s="77"/>
      <c r="AC833" s="77"/>
      <c r="AD833" s="77"/>
      <c r="AE833" s="77"/>
      <c r="AF833" s="77"/>
      <c r="AG833" s="77"/>
      <c r="AH833" s="77"/>
      <c r="AI833" s="77"/>
      <c r="AJ833" s="77"/>
      <c r="AK833" s="77"/>
      <c r="AL833" s="77"/>
      <c r="AM833" s="77"/>
      <c r="AN833" s="77"/>
      <c r="AO833" s="77"/>
      <c r="AP833" s="77"/>
      <c r="AQ833" s="77"/>
      <c r="AR833" s="77"/>
    </row>
    <row r="834" ht="15.75" customHeight="1">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c r="AB834" s="77"/>
      <c r="AC834" s="77"/>
      <c r="AD834" s="77"/>
      <c r="AE834" s="77"/>
      <c r="AF834" s="77"/>
      <c r="AG834" s="77"/>
      <c r="AH834" s="77"/>
      <c r="AI834" s="77"/>
      <c r="AJ834" s="77"/>
      <c r="AK834" s="77"/>
      <c r="AL834" s="77"/>
      <c r="AM834" s="77"/>
      <c r="AN834" s="77"/>
      <c r="AO834" s="77"/>
      <c r="AP834" s="77"/>
      <c r="AQ834" s="77"/>
      <c r="AR834" s="77"/>
    </row>
    <row r="835" ht="15.75" customHeight="1">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c r="AB835" s="77"/>
      <c r="AC835" s="77"/>
      <c r="AD835" s="77"/>
      <c r="AE835" s="77"/>
      <c r="AF835" s="77"/>
      <c r="AG835" s="77"/>
      <c r="AH835" s="77"/>
      <c r="AI835" s="77"/>
      <c r="AJ835" s="77"/>
      <c r="AK835" s="77"/>
      <c r="AL835" s="77"/>
      <c r="AM835" s="77"/>
      <c r="AN835" s="77"/>
      <c r="AO835" s="77"/>
      <c r="AP835" s="77"/>
      <c r="AQ835" s="77"/>
      <c r="AR835" s="77"/>
    </row>
    <row r="836" ht="15.75" customHeight="1">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c r="AB836" s="77"/>
      <c r="AC836" s="77"/>
      <c r="AD836" s="77"/>
      <c r="AE836" s="77"/>
      <c r="AF836" s="77"/>
      <c r="AG836" s="77"/>
      <c r="AH836" s="77"/>
      <c r="AI836" s="77"/>
      <c r="AJ836" s="77"/>
      <c r="AK836" s="77"/>
      <c r="AL836" s="77"/>
      <c r="AM836" s="77"/>
      <c r="AN836" s="77"/>
      <c r="AO836" s="77"/>
      <c r="AP836" s="77"/>
      <c r="AQ836" s="77"/>
      <c r="AR836" s="77"/>
    </row>
    <row r="837" ht="15.75" customHeight="1">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c r="AB837" s="77"/>
      <c r="AC837" s="77"/>
      <c r="AD837" s="77"/>
      <c r="AE837" s="77"/>
      <c r="AF837" s="77"/>
      <c r="AG837" s="77"/>
      <c r="AH837" s="77"/>
      <c r="AI837" s="77"/>
      <c r="AJ837" s="77"/>
      <c r="AK837" s="77"/>
      <c r="AL837" s="77"/>
      <c r="AM837" s="77"/>
      <c r="AN837" s="77"/>
      <c r="AO837" s="77"/>
      <c r="AP837" s="77"/>
      <c r="AQ837" s="77"/>
      <c r="AR837" s="77"/>
    </row>
    <row r="838" ht="15.75" customHeight="1">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c r="AB838" s="77"/>
      <c r="AC838" s="77"/>
      <c r="AD838" s="77"/>
      <c r="AE838" s="77"/>
      <c r="AF838" s="77"/>
      <c r="AG838" s="77"/>
      <c r="AH838" s="77"/>
      <c r="AI838" s="77"/>
      <c r="AJ838" s="77"/>
      <c r="AK838" s="77"/>
      <c r="AL838" s="77"/>
      <c r="AM838" s="77"/>
      <c r="AN838" s="77"/>
      <c r="AO838" s="77"/>
      <c r="AP838" s="77"/>
      <c r="AQ838" s="77"/>
      <c r="AR838" s="77"/>
    </row>
    <row r="839" ht="15.75" customHeight="1">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c r="AB839" s="77"/>
      <c r="AC839" s="77"/>
      <c r="AD839" s="77"/>
      <c r="AE839" s="77"/>
      <c r="AF839" s="77"/>
      <c r="AG839" s="77"/>
      <c r="AH839" s="77"/>
      <c r="AI839" s="77"/>
      <c r="AJ839" s="77"/>
      <c r="AK839" s="77"/>
      <c r="AL839" s="77"/>
      <c r="AM839" s="77"/>
      <c r="AN839" s="77"/>
      <c r="AO839" s="77"/>
      <c r="AP839" s="77"/>
      <c r="AQ839" s="77"/>
      <c r="AR839" s="77"/>
    </row>
    <row r="840" ht="15.75" customHeight="1">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c r="AB840" s="77"/>
      <c r="AC840" s="77"/>
      <c r="AD840" s="77"/>
      <c r="AE840" s="77"/>
      <c r="AF840" s="77"/>
      <c r="AG840" s="77"/>
      <c r="AH840" s="77"/>
      <c r="AI840" s="77"/>
      <c r="AJ840" s="77"/>
      <c r="AK840" s="77"/>
      <c r="AL840" s="77"/>
      <c r="AM840" s="77"/>
      <c r="AN840" s="77"/>
      <c r="AO840" s="77"/>
      <c r="AP840" s="77"/>
      <c r="AQ840" s="77"/>
      <c r="AR840" s="77"/>
    </row>
    <row r="841" ht="15.75" customHeight="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c r="AB841" s="77"/>
      <c r="AC841" s="77"/>
      <c r="AD841" s="77"/>
      <c r="AE841" s="77"/>
      <c r="AF841" s="77"/>
      <c r="AG841" s="77"/>
      <c r="AH841" s="77"/>
      <c r="AI841" s="77"/>
      <c r="AJ841" s="77"/>
      <c r="AK841" s="77"/>
      <c r="AL841" s="77"/>
      <c r="AM841" s="77"/>
      <c r="AN841" s="77"/>
      <c r="AO841" s="77"/>
      <c r="AP841" s="77"/>
      <c r="AQ841" s="77"/>
      <c r="AR841" s="77"/>
    </row>
    <row r="842" ht="15.75" customHeight="1">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c r="AB842" s="77"/>
      <c r="AC842" s="77"/>
      <c r="AD842" s="77"/>
      <c r="AE842" s="77"/>
      <c r="AF842" s="77"/>
      <c r="AG842" s="77"/>
      <c r="AH842" s="77"/>
      <c r="AI842" s="77"/>
      <c r="AJ842" s="77"/>
      <c r="AK842" s="77"/>
      <c r="AL842" s="77"/>
      <c r="AM842" s="77"/>
      <c r="AN842" s="77"/>
      <c r="AO842" s="77"/>
      <c r="AP842" s="77"/>
      <c r="AQ842" s="77"/>
      <c r="AR842" s="77"/>
    </row>
    <row r="843" ht="15.75" customHeight="1">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c r="AB843" s="77"/>
      <c r="AC843" s="77"/>
      <c r="AD843" s="77"/>
      <c r="AE843" s="77"/>
      <c r="AF843" s="77"/>
      <c r="AG843" s="77"/>
      <c r="AH843" s="77"/>
      <c r="AI843" s="77"/>
      <c r="AJ843" s="77"/>
      <c r="AK843" s="77"/>
      <c r="AL843" s="77"/>
      <c r="AM843" s="77"/>
      <c r="AN843" s="77"/>
      <c r="AO843" s="77"/>
      <c r="AP843" s="77"/>
      <c r="AQ843" s="77"/>
      <c r="AR843" s="77"/>
    </row>
    <row r="844" ht="15.75" customHeight="1">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c r="AB844" s="77"/>
      <c r="AC844" s="77"/>
      <c r="AD844" s="77"/>
      <c r="AE844" s="77"/>
      <c r="AF844" s="77"/>
      <c r="AG844" s="77"/>
      <c r="AH844" s="77"/>
      <c r="AI844" s="77"/>
      <c r="AJ844" s="77"/>
      <c r="AK844" s="77"/>
      <c r="AL844" s="77"/>
      <c r="AM844" s="77"/>
      <c r="AN844" s="77"/>
      <c r="AO844" s="77"/>
      <c r="AP844" s="77"/>
      <c r="AQ844" s="77"/>
      <c r="AR844" s="77"/>
    </row>
    <row r="845" ht="15.75" customHeight="1">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c r="AB845" s="77"/>
      <c r="AC845" s="77"/>
      <c r="AD845" s="77"/>
      <c r="AE845" s="77"/>
      <c r="AF845" s="77"/>
      <c r="AG845" s="77"/>
      <c r="AH845" s="77"/>
      <c r="AI845" s="77"/>
      <c r="AJ845" s="77"/>
      <c r="AK845" s="77"/>
      <c r="AL845" s="77"/>
      <c r="AM845" s="77"/>
      <c r="AN845" s="77"/>
      <c r="AO845" s="77"/>
      <c r="AP845" s="77"/>
      <c r="AQ845" s="77"/>
      <c r="AR845" s="77"/>
    </row>
    <row r="846" ht="15.75" customHeight="1">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c r="AB846" s="77"/>
      <c r="AC846" s="77"/>
      <c r="AD846" s="77"/>
      <c r="AE846" s="77"/>
      <c r="AF846" s="77"/>
      <c r="AG846" s="77"/>
      <c r="AH846" s="77"/>
      <c r="AI846" s="77"/>
      <c r="AJ846" s="77"/>
      <c r="AK846" s="77"/>
      <c r="AL846" s="77"/>
      <c r="AM846" s="77"/>
      <c r="AN846" s="77"/>
      <c r="AO846" s="77"/>
      <c r="AP846" s="77"/>
      <c r="AQ846" s="77"/>
      <c r="AR846" s="77"/>
    </row>
    <row r="847" ht="15.75" customHeight="1">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c r="AB847" s="77"/>
      <c r="AC847" s="77"/>
      <c r="AD847" s="77"/>
      <c r="AE847" s="77"/>
      <c r="AF847" s="77"/>
      <c r="AG847" s="77"/>
      <c r="AH847" s="77"/>
      <c r="AI847" s="77"/>
      <c r="AJ847" s="77"/>
      <c r="AK847" s="77"/>
      <c r="AL847" s="77"/>
      <c r="AM847" s="77"/>
      <c r="AN847" s="77"/>
      <c r="AO847" s="77"/>
      <c r="AP847" s="77"/>
      <c r="AQ847" s="77"/>
      <c r="AR847" s="77"/>
    </row>
    <row r="848" ht="15.75" customHeight="1">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c r="AB848" s="77"/>
      <c r="AC848" s="77"/>
      <c r="AD848" s="77"/>
      <c r="AE848" s="77"/>
      <c r="AF848" s="77"/>
      <c r="AG848" s="77"/>
      <c r="AH848" s="77"/>
      <c r="AI848" s="77"/>
      <c r="AJ848" s="77"/>
      <c r="AK848" s="77"/>
      <c r="AL848" s="77"/>
      <c r="AM848" s="77"/>
      <c r="AN848" s="77"/>
      <c r="AO848" s="77"/>
      <c r="AP848" s="77"/>
      <c r="AQ848" s="77"/>
      <c r="AR848" s="77"/>
    </row>
    <row r="849" ht="15.75" customHeight="1">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c r="AB849" s="77"/>
      <c r="AC849" s="77"/>
      <c r="AD849" s="77"/>
      <c r="AE849" s="77"/>
      <c r="AF849" s="77"/>
      <c r="AG849" s="77"/>
      <c r="AH849" s="77"/>
      <c r="AI849" s="77"/>
      <c r="AJ849" s="77"/>
      <c r="AK849" s="77"/>
      <c r="AL849" s="77"/>
      <c r="AM849" s="77"/>
      <c r="AN849" s="77"/>
      <c r="AO849" s="77"/>
      <c r="AP849" s="77"/>
      <c r="AQ849" s="77"/>
      <c r="AR849" s="77"/>
    </row>
    <row r="850" ht="15.75" customHeight="1">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c r="AB850" s="77"/>
      <c r="AC850" s="77"/>
      <c r="AD850" s="77"/>
      <c r="AE850" s="77"/>
      <c r="AF850" s="77"/>
      <c r="AG850" s="77"/>
      <c r="AH850" s="77"/>
      <c r="AI850" s="77"/>
      <c r="AJ850" s="77"/>
      <c r="AK850" s="77"/>
      <c r="AL850" s="77"/>
      <c r="AM850" s="77"/>
      <c r="AN850" s="77"/>
      <c r="AO850" s="77"/>
      <c r="AP850" s="77"/>
      <c r="AQ850" s="77"/>
      <c r="AR850" s="77"/>
    </row>
    <row r="851" ht="15.75" customHeight="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c r="AB851" s="77"/>
      <c r="AC851" s="77"/>
      <c r="AD851" s="77"/>
      <c r="AE851" s="77"/>
      <c r="AF851" s="77"/>
      <c r="AG851" s="77"/>
      <c r="AH851" s="77"/>
      <c r="AI851" s="77"/>
      <c r="AJ851" s="77"/>
      <c r="AK851" s="77"/>
      <c r="AL851" s="77"/>
      <c r="AM851" s="77"/>
      <c r="AN851" s="77"/>
      <c r="AO851" s="77"/>
      <c r="AP851" s="77"/>
      <c r="AQ851" s="77"/>
      <c r="AR851" s="77"/>
    </row>
    <row r="852" ht="15.75" customHeight="1">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c r="AB852" s="77"/>
      <c r="AC852" s="77"/>
      <c r="AD852" s="77"/>
      <c r="AE852" s="77"/>
      <c r="AF852" s="77"/>
      <c r="AG852" s="77"/>
      <c r="AH852" s="77"/>
      <c r="AI852" s="77"/>
      <c r="AJ852" s="77"/>
      <c r="AK852" s="77"/>
      <c r="AL852" s="77"/>
      <c r="AM852" s="77"/>
      <c r="AN852" s="77"/>
      <c r="AO852" s="77"/>
      <c r="AP852" s="77"/>
      <c r="AQ852" s="77"/>
      <c r="AR852" s="77"/>
    </row>
    <row r="853" ht="15.75" customHeight="1">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c r="AB853" s="77"/>
      <c r="AC853" s="77"/>
      <c r="AD853" s="77"/>
      <c r="AE853" s="77"/>
      <c r="AF853" s="77"/>
      <c r="AG853" s="77"/>
      <c r="AH853" s="77"/>
      <c r="AI853" s="77"/>
      <c r="AJ853" s="77"/>
      <c r="AK853" s="77"/>
      <c r="AL853" s="77"/>
      <c r="AM853" s="77"/>
      <c r="AN853" s="77"/>
      <c r="AO853" s="77"/>
      <c r="AP853" s="77"/>
      <c r="AQ853" s="77"/>
      <c r="AR853" s="77"/>
    </row>
    <row r="854" ht="15.75" customHeight="1">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c r="AB854" s="77"/>
      <c r="AC854" s="77"/>
      <c r="AD854" s="77"/>
      <c r="AE854" s="77"/>
      <c r="AF854" s="77"/>
      <c r="AG854" s="77"/>
      <c r="AH854" s="77"/>
      <c r="AI854" s="77"/>
      <c r="AJ854" s="77"/>
      <c r="AK854" s="77"/>
      <c r="AL854" s="77"/>
      <c r="AM854" s="77"/>
      <c r="AN854" s="77"/>
      <c r="AO854" s="77"/>
      <c r="AP854" s="77"/>
      <c r="AQ854" s="77"/>
      <c r="AR854" s="77"/>
    </row>
    <row r="855" ht="15.75" customHeight="1">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c r="AB855" s="77"/>
      <c r="AC855" s="77"/>
      <c r="AD855" s="77"/>
      <c r="AE855" s="77"/>
      <c r="AF855" s="77"/>
      <c r="AG855" s="77"/>
      <c r="AH855" s="77"/>
      <c r="AI855" s="77"/>
      <c r="AJ855" s="77"/>
      <c r="AK855" s="77"/>
      <c r="AL855" s="77"/>
      <c r="AM855" s="77"/>
      <c r="AN855" s="77"/>
      <c r="AO855" s="77"/>
      <c r="AP855" s="77"/>
      <c r="AQ855" s="77"/>
      <c r="AR855" s="77"/>
    </row>
    <row r="856" ht="15.75" customHeight="1">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c r="AB856" s="77"/>
      <c r="AC856" s="77"/>
      <c r="AD856" s="77"/>
      <c r="AE856" s="77"/>
      <c r="AF856" s="77"/>
      <c r="AG856" s="77"/>
      <c r="AH856" s="77"/>
      <c r="AI856" s="77"/>
      <c r="AJ856" s="77"/>
      <c r="AK856" s="77"/>
      <c r="AL856" s="77"/>
      <c r="AM856" s="77"/>
      <c r="AN856" s="77"/>
      <c r="AO856" s="77"/>
      <c r="AP856" s="77"/>
      <c r="AQ856" s="77"/>
      <c r="AR856" s="77"/>
    </row>
    <row r="857" ht="15.75" customHeight="1">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c r="AB857" s="77"/>
      <c r="AC857" s="77"/>
      <c r="AD857" s="77"/>
      <c r="AE857" s="77"/>
      <c r="AF857" s="77"/>
      <c r="AG857" s="77"/>
      <c r="AH857" s="77"/>
      <c r="AI857" s="77"/>
      <c r="AJ857" s="77"/>
      <c r="AK857" s="77"/>
      <c r="AL857" s="77"/>
      <c r="AM857" s="77"/>
      <c r="AN857" s="77"/>
      <c r="AO857" s="77"/>
      <c r="AP857" s="77"/>
      <c r="AQ857" s="77"/>
      <c r="AR857" s="77"/>
    </row>
    <row r="858" ht="15.75" customHeight="1">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c r="AB858" s="77"/>
      <c r="AC858" s="77"/>
      <c r="AD858" s="77"/>
      <c r="AE858" s="77"/>
      <c r="AF858" s="77"/>
      <c r="AG858" s="77"/>
      <c r="AH858" s="77"/>
      <c r="AI858" s="77"/>
      <c r="AJ858" s="77"/>
      <c r="AK858" s="77"/>
      <c r="AL858" s="77"/>
      <c r="AM858" s="77"/>
      <c r="AN858" s="77"/>
      <c r="AO858" s="77"/>
      <c r="AP858" s="77"/>
      <c r="AQ858" s="77"/>
      <c r="AR858" s="77"/>
    </row>
    <row r="859" ht="15.75" customHeight="1">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c r="AB859" s="77"/>
      <c r="AC859" s="77"/>
      <c r="AD859" s="77"/>
      <c r="AE859" s="77"/>
      <c r="AF859" s="77"/>
      <c r="AG859" s="77"/>
      <c r="AH859" s="77"/>
      <c r="AI859" s="77"/>
      <c r="AJ859" s="77"/>
      <c r="AK859" s="77"/>
      <c r="AL859" s="77"/>
      <c r="AM859" s="77"/>
      <c r="AN859" s="77"/>
      <c r="AO859" s="77"/>
      <c r="AP859" s="77"/>
      <c r="AQ859" s="77"/>
      <c r="AR859" s="77"/>
    </row>
    <row r="860" ht="15.75" customHeight="1">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c r="AB860" s="77"/>
      <c r="AC860" s="77"/>
      <c r="AD860" s="77"/>
      <c r="AE860" s="77"/>
      <c r="AF860" s="77"/>
      <c r="AG860" s="77"/>
      <c r="AH860" s="77"/>
      <c r="AI860" s="77"/>
      <c r="AJ860" s="77"/>
      <c r="AK860" s="77"/>
      <c r="AL860" s="77"/>
      <c r="AM860" s="77"/>
      <c r="AN860" s="77"/>
      <c r="AO860" s="77"/>
      <c r="AP860" s="77"/>
      <c r="AQ860" s="77"/>
      <c r="AR860" s="77"/>
    </row>
    <row r="861" ht="15.75" customHeight="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c r="AB861" s="77"/>
      <c r="AC861" s="77"/>
      <c r="AD861" s="77"/>
      <c r="AE861" s="77"/>
      <c r="AF861" s="77"/>
      <c r="AG861" s="77"/>
      <c r="AH861" s="77"/>
      <c r="AI861" s="77"/>
      <c r="AJ861" s="77"/>
      <c r="AK861" s="77"/>
      <c r="AL861" s="77"/>
      <c r="AM861" s="77"/>
      <c r="AN861" s="77"/>
      <c r="AO861" s="77"/>
      <c r="AP861" s="77"/>
      <c r="AQ861" s="77"/>
      <c r="AR861" s="77"/>
    </row>
    <row r="862" ht="15.75" customHeight="1">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c r="AB862" s="77"/>
      <c r="AC862" s="77"/>
      <c r="AD862" s="77"/>
      <c r="AE862" s="77"/>
      <c r="AF862" s="77"/>
      <c r="AG862" s="77"/>
      <c r="AH862" s="77"/>
      <c r="AI862" s="77"/>
      <c r="AJ862" s="77"/>
      <c r="AK862" s="77"/>
      <c r="AL862" s="77"/>
      <c r="AM862" s="77"/>
      <c r="AN862" s="77"/>
      <c r="AO862" s="77"/>
      <c r="AP862" s="77"/>
      <c r="AQ862" s="77"/>
      <c r="AR862" s="77"/>
    </row>
    <row r="863" ht="15.75" customHeight="1">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c r="AB863" s="77"/>
      <c r="AC863" s="77"/>
      <c r="AD863" s="77"/>
      <c r="AE863" s="77"/>
      <c r="AF863" s="77"/>
      <c r="AG863" s="77"/>
      <c r="AH863" s="77"/>
      <c r="AI863" s="77"/>
      <c r="AJ863" s="77"/>
      <c r="AK863" s="77"/>
      <c r="AL863" s="77"/>
      <c r="AM863" s="77"/>
      <c r="AN863" s="77"/>
      <c r="AO863" s="77"/>
      <c r="AP863" s="77"/>
      <c r="AQ863" s="77"/>
      <c r="AR863" s="77"/>
    </row>
    <row r="864" ht="15.75" customHeight="1">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c r="AB864" s="77"/>
      <c r="AC864" s="77"/>
      <c r="AD864" s="77"/>
      <c r="AE864" s="77"/>
      <c r="AF864" s="77"/>
      <c r="AG864" s="77"/>
      <c r="AH864" s="77"/>
      <c r="AI864" s="77"/>
      <c r="AJ864" s="77"/>
      <c r="AK864" s="77"/>
      <c r="AL864" s="77"/>
      <c r="AM864" s="77"/>
      <c r="AN864" s="77"/>
      <c r="AO864" s="77"/>
      <c r="AP864" s="77"/>
      <c r="AQ864" s="77"/>
      <c r="AR864" s="77"/>
    </row>
    <row r="865" ht="15.75" customHeight="1">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c r="AB865" s="77"/>
      <c r="AC865" s="77"/>
      <c r="AD865" s="77"/>
      <c r="AE865" s="77"/>
      <c r="AF865" s="77"/>
      <c r="AG865" s="77"/>
      <c r="AH865" s="77"/>
      <c r="AI865" s="77"/>
      <c r="AJ865" s="77"/>
      <c r="AK865" s="77"/>
      <c r="AL865" s="77"/>
      <c r="AM865" s="77"/>
      <c r="AN865" s="77"/>
      <c r="AO865" s="77"/>
      <c r="AP865" s="77"/>
      <c r="AQ865" s="77"/>
      <c r="AR865" s="77"/>
    </row>
    <row r="866" ht="15.75" customHeight="1">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c r="AB866" s="77"/>
      <c r="AC866" s="77"/>
      <c r="AD866" s="77"/>
      <c r="AE866" s="77"/>
      <c r="AF866" s="77"/>
      <c r="AG866" s="77"/>
      <c r="AH866" s="77"/>
      <c r="AI866" s="77"/>
      <c r="AJ866" s="77"/>
      <c r="AK866" s="77"/>
      <c r="AL866" s="77"/>
      <c r="AM866" s="77"/>
      <c r="AN866" s="77"/>
      <c r="AO866" s="77"/>
      <c r="AP866" s="77"/>
      <c r="AQ866" s="77"/>
      <c r="AR866" s="77"/>
    </row>
    <row r="867" ht="15.75" customHeight="1">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c r="AB867" s="77"/>
      <c r="AC867" s="77"/>
      <c r="AD867" s="77"/>
      <c r="AE867" s="77"/>
      <c r="AF867" s="77"/>
      <c r="AG867" s="77"/>
      <c r="AH867" s="77"/>
      <c r="AI867" s="77"/>
      <c r="AJ867" s="77"/>
      <c r="AK867" s="77"/>
      <c r="AL867" s="77"/>
      <c r="AM867" s="77"/>
      <c r="AN867" s="77"/>
      <c r="AO867" s="77"/>
      <c r="AP867" s="77"/>
      <c r="AQ867" s="77"/>
      <c r="AR867" s="77"/>
    </row>
    <row r="868" ht="15.75" customHeight="1">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c r="AB868" s="77"/>
      <c r="AC868" s="77"/>
      <c r="AD868" s="77"/>
      <c r="AE868" s="77"/>
      <c r="AF868" s="77"/>
      <c r="AG868" s="77"/>
      <c r="AH868" s="77"/>
      <c r="AI868" s="77"/>
      <c r="AJ868" s="77"/>
      <c r="AK868" s="77"/>
      <c r="AL868" s="77"/>
      <c r="AM868" s="77"/>
      <c r="AN868" s="77"/>
      <c r="AO868" s="77"/>
      <c r="AP868" s="77"/>
      <c r="AQ868" s="77"/>
      <c r="AR868" s="77"/>
    </row>
    <row r="869" ht="15.75" customHeight="1">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c r="AB869" s="77"/>
      <c r="AC869" s="77"/>
      <c r="AD869" s="77"/>
      <c r="AE869" s="77"/>
      <c r="AF869" s="77"/>
      <c r="AG869" s="77"/>
      <c r="AH869" s="77"/>
      <c r="AI869" s="77"/>
      <c r="AJ869" s="77"/>
      <c r="AK869" s="77"/>
      <c r="AL869" s="77"/>
      <c r="AM869" s="77"/>
      <c r="AN869" s="77"/>
      <c r="AO869" s="77"/>
      <c r="AP869" s="77"/>
      <c r="AQ869" s="77"/>
      <c r="AR869" s="77"/>
    </row>
    <row r="870" ht="15.75" customHeight="1">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7"/>
      <c r="AF870" s="77"/>
      <c r="AG870" s="77"/>
      <c r="AH870" s="77"/>
      <c r="AI870" s="77"/>
      <c r="AJ870" s="77"/>
      <c r="AK870" s="77"/>
      <c r="AL870" s="77"/>
      <c r="AM870" s="77"/>
      <c r="AN870" s="77"/>
      <c r="AO870" s="77"/>
      <c r="AP870" s="77"/>
      <c r="AQ870" s="77"/>
      <c r="AR870" s="77"/>
    </row>
    <row r="871" ht="15.75" customHeight="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c r="AB871" s="77"/>
      <c r="AC871" s="77"/>
      <c r="AD871" s="77"/>
      <c r="AE871" s="77"/>
      <c r="AF871" s="77"/>
      <c r="AG871" s="77"/>
      <c r="AH871" s="77"/>
      <c r="AI871" s="77"/>
      <c r="AJ871" s="77"/>
      <c r="AK871" s="77"/>
      <c r="AL871" s="77"/>
      <c r="AM871" s="77"/>
      <c r="AN871" s="77"/>
      <c r="AO871" s="77"/>
      <c r="AP871" s="77"/>
      <c r="AQ871" s="77"/>
      <c r="AR871" s="77"/>
    </row>
    <row r="872" ht="15.75" customHeight="1">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c r="AB872" s="77"/>
      <c r="AC872" s="77"/>
      <c r="AD872" s="77"/>
      <c r="AE872" s="77"/>
      <c r="AF872" s="77"/>
      <c r="AG872" s="77"/>
      <c r="AH872" s="77"/>
      <c r="AI872" s="77"/>
      <c r="AJ872" s="77"/>
      <c r="AK872" s="77"/>
      <c r="AL872" s="77"/>
      <c r="AM872" s="77"/>
      <c r="AN872" s="77"/>
      <c r="AO872" s="77"/>
      <c r="AP872" s="77"/>
      <c r="AQ872" s="77"/>
      <c r="AR872" s="77"/>
    </row>
    <row r="873" ht="15.75" customHeight="1">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c r="AB873" s="77"/>
      <c r="AC873" s="77"/>
      <c r="AD873" s="77"/>
      <c r="AE873" s="77"/>
      <c r="AF873" s="77"/>
      <c r="AG873" s="77"/>
      <c r="AH873" s="77"/>
      <c r="AI873" s="77"/>
      <c r="AJ873" s="77"/>
      <c r="AK873" s="77"/>
      <c r="AL873" s="77"/>
      <c r="AM873" s="77"/>
      <c r="AN873" s="77"/>
      <c r="AO873" s="77"/>
      <c r="AP873" s="77"/>
      <c r="AQ873" s="77"/>
      <c r="AR873" s="77"/>
    </row>
    <row r="874" ht="15.75" customHeight="1">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c r="AB874" s="77"/>
      <c r="AC874" s="77"/>
      <c r="AD874" s="77"/>
      <c r="AE874" s="77"/>
      <c r="AF874" s="77"/>
      <c r="AG874" s="77"/>
      <c r="AH874" s="77"/>
      <c r="AI874" s="77"/>
      <c r="AJ874" s="77"/>
      <c r="AK874" s="77"/>
      <c r="AL874" s="77"/>
      <c r="AM874" s="77"/>
      <c r="AN874" s="77"/>
      <c r="AO874" s="77"/>
      <c r="AP874" s="77"/>
      <c r="AQ874" s="77"/>
      <c r="AR874" s="77"/>
    </row>
    <row r="875" ht="15.75" customHeight="1">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c r="AB875" s="77"/>
      <c r="AC875" s="77"/>
      <c r="AD875" s="77"/>
      <c r="AE875" s="77"/>
      <c r="AF875" s="77"/>
      <c r="AG875" s="77"/>
      <c r="AH875" s="77"/>
      <c r="AI875" s="77"/>
      <c r="AJ875" s="77"/>
      <c r="AK875" s="77"/>
      <c r="AL875" s="77"/>
      <c r="AM875" s="77"/>
      <c r="AN875" s="77"/>
      <c r="AO875" s="77"/>
      <c r="AP875" s="77"/>
      <c r="AQ875" s="77"/>
      <c r="AR875" s="77"/>
    </row>
    <row r="876" ht="15.75" customHeight="1">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c r="AB876" s="77"/>
      <c r="AC876" s="77"/>
      <c r="AD876" s="77"/>
      <c r="AE876" s="77"/>
      <c r="AF876" s="77"/>
      <c r="AG876" s="77"/>
      <c r="AH876" s="77"/>
      <c r="AI876" s="77"/>
      <c r="AJ876" s="77"/>
      <c r="AK876" s="77"/>
      <c r="AL876" s="77"/>
      <c r="AM876" s="77"/>
      <c r="AN876" s="77"/>
      <c r="AO876" s="77"/>
      <c r="AP876" s="77"/>
      <c r="AQ876" s="77"/>
      <c r="AR876" s="77"/>
    </row>
    <row r="877" ht="15.75" customHeight="1">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c r="AB877" s="77"/>
      <c r="AC877" s="77"/>
      <c r="AD877" s="77"/>
      <c r="AE877" s="77"/>
      <c r="AF877" s="77"/>
      <c r="AG877" s="77"/>
      <c r="AH877" s="77"/>
      <c r="AI877" s="77"/>
      <c r="AJ877" s="77"/>
      <c r="AK877" s="77"/>
      <c r="AL877" s="77"/>
      <c r="AM877" s="77"/>
      <c r="AN877" s="77"/>
      <c r="AO877" s="77"/>
      <c r="AP877" s="77"/>
      <c r="AQ877" s="77"/>
      <c r="AR877" s="77"/>
    </row>
    <row r="878" ht="15.75" customHeight="1">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c r="AB878" s="77"/>
      <c r="AC878" s="77"/>
      <c r="AD878" s="77"/>
      <c r="AE878" s="77"/>
      <c r="AF878" s="77"/>
      <c r="AG878" s="77"/>
      <c r="AH878" s="77"/>
      <c r="AI878" s="77"/>
      <c r="AJ878" s="77"/>
      <c r="AK878" s="77"/>
      <c r="AL878" s="77"/>
      <c r="AM878" s="77"/>
      <c r="AN878" s="77"/>
      <c r="AO878" s="77"/>
      <c r="AP878" s="77"/>
      <c r="AQ878" s="77"/>
      <c r="AR878" s="77"/>
    </row>
    <row r="879" ht="15.75" customHeight="1">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c r="AB879" s="77"/>
      <c r="AC879" s="77"/>
      <c r="AD879" s="77"/>
      <c r="AE879" s="77"/>
      <c r="AF879" s="77"/>
      <c r="AG879" s="77"/>
      <c r="AH879" s="77"/>
      <c r="AI879" s="77"/>
      <c r="AJ879" s="77"/>
      <c r="AK879" s="77"/>
      <c r="AL879" s="77"/>
      <c r="AM879" s="77"/>
      <c r="AN879" s="77"/>
      <c r="AO879" s="77"/>
      <c r="AP879" s="77"/>
      <c r="AQ879" s="77"/>
      <c r="AR879" s="77"/>
    </row>
    <row r="880" ht="15.75" customHeight="1">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c r="AB880" s="77"/>
      <c r="AC880" s="77"/>
      <c r="AD880" s="77"/>
      <c r="AE880" s="77"/>
      <c r="AF880" s="77"/>
      <c r="AG880" s="77"/>
      <c r="AH880" s="77"/>
      <c r="AI880" s="77"/>
      <c r="AJ880" s="77"/>
      <c r="AK880" s="77"/>
      <c r="AL880" s="77"/>
      <c r="AM880" s="77"/>
      <c r="AN880" s="77"/>
      <c r="AO880" s="77"/>
      <c r="AP880" s="77"/>
      <c r="AQ880" s="77"/>
      <c r="AR880" s="77"/>
    </row>
    <row r="881" ht="15.75" customHeight="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c r="AB881" s="77"/>
      <c r="AC881" s="77"/>
      <c r="AD881" s="77"/>
      <c r="AE881" s="77"/>
      <c r="AF881" s="77"/>
      <c r="AG881" s="77"/>
      <c r="AH881" s="77"/>
      <c r="AI881" s="77"/>
      <c r="AJ881" s="77"/>
      <c r="AK881" s="77"/>
      <c r="AL881" s="77"/>
      <c r="AM881" s="77"/>
      <c r="AN881" s="77"/>
      <c r="AO881" s="77"/>
      <c r="AP881" s="77"/>
      <c r="AQ881" s="77"/>
      <c r="AR881" s="77"/>
    </row>
    <row r="882" ht="15.75" customHeight="1">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c r="AB882" s="77"/>
      <c r="AC882" s="77"/>
      <c r="AD882" s="77"/>
      <c r="AE882" s="77"/>
      <c r="AF882" s="77"/>
      <c r="AG882" s="77"/>
      <c r="AH882" s="77"/>
      <c r="AI882" s="77"/>
      <c r="AJ882" s="77"/>
      <c r="AK882" s="77"/>
      <c r="AL882" s="77"/>
      <c r="AM882" s="77"/>
      <c r="AN882" s="77"/>
      <c r="AO882" s="77"/>
      <c r="AP882" s="77"/>
      <c r="AQ882" s="77"/>
      <c r="AR882" s="77"/>
    </row>
    <row r="883" ht="15.75" customHeight="1">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c r="AB883" s="77"/>
      <c r="AC883" s="77"/>
      <c r="AD883" s="77"/>
      <c r="AE883" s="77"/>
      <c r="AF883" s="77"/>
      <c r="AG883" s="77"/>
      <c r="AH883" s="77"/>
      <c r="AI883" s="77"/>
      <c r="AJ883" s="77"/>
      <c r="AK883" s="77"/>
      <c r="AL883" s="77"/>
      <c r="AM883" s="77"/>
      <c r="AN883" s="77"/>
      <c r="AO883" s="77"/>
      <c r="AP883" s="77"/>
      <c r="AQ883" s="77"/>
      <c r="AR883" s="77"/>
    </row>
    <row r="884" ht="15.75" customHeight="1">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77"/>
      <c r="AC884" s="77"/>
      <c r="AD884" s="77"/>
      <c r="AE884" s="77"/>
      <c r="AF884" s="77"/>
      <c r="AG884" s="77"/>
      <c r="AH884" s="77"/>
      <c r="AI884" s="77"/>
      <c r="AJ884" s="77"/>
      <c r="AK884" s="77"/>
      <c r="AL884" s="77"/>
      <c r="AM884" s="77"/>
      <c r="AN884" s="77"/>
      <c r="AO884" s="77"/>
      <c r="AP884" s="77"/>
      <c r="AQ884" s="77"/>
      <c r="AR884" s="77"/>
    </row>
    <row r="885" ht="15.75" customHeight="1">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77"/>
      <c r="AC885" s="77"/>
      <c r="AD885" s="77"/>
      <c r="AE885" s="77"/>
      <c r="AF885" s="77"/>
      <c r="AG885" s="77"/>
      <c r="AH885" s="77"/>
      <c r="AI885" s="77"/>
      <c r="AJ885" s="77"/>
      <c r="AK885" s="77"/>
      <c r="AL885" s="77"/>
      <c r="AM885" s="77"/>
      <c r="AN885" s="77"/>
      <c r="AO885" s="77"/>
      <c r="AP885" s="77"/>
      <c r="AQ885" s="77"/>
      <c r="AR885" s="77"/>
    </row>
    <row r="886" ht="15.75" customHeight="1">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77"/>
      <c r="AC886" s="77"/>
      <c r="AD886" s="77"/>
      <c r="AE886" s="77"/>
      <c r="AF886" s="77"/>
      <c r="AG886" s="77"/>
      <c r="AH886" s="77"/>
      <c r="AI886" s="77"/>
      <c r="AJ886" s="77"/>
      <c r="AK886" s="77"/>
      <c r="AL886" s="77"/>
      <c r="AM886" s="77"/>
      <c r="AN886" s="77"/>
      <c r="AO886" s="77"/>
      <c r="AP886" s="77"/>
      <c r="AQ886" s="77"/>
      <c r="AR886" s="77"/>
    </row>
    <row r="887" ht="15.75" customHeight="1">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77"/>
      <c r="AC887" s="77"/>
      <c r="AD887" s="77"/>
      <c r="AE887" s="77"/>
      <c r="AF887" s="77"/>
      <c r="AG887" s="77"/>
      <c r="AH887" s="77"/>
      <c r="AI887" s="77"/>
      <c r="AJ887" s="77"/>
      <c r="AK887" s="77"/>
      <c r="AL887" s="77"/>
      <c r="AM887" s="77"/>
      <c r="AN887" s="77"/>
      <c r="AO887" s="77"/>
      <c r="AP887" s="77"/>
      <c r="AQ887" s="77"/>
      <c r="AR887" s="77"/>
    </row>
    <row r="888" ht="15.75" customHeight="1">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77"/>
      <c r="AC888" s="77"/>
      <c r="AD888" s="77"/>
      <c r="AE888" s="77"/>
      <c r="AF888" s="77"/>
      <c r="AG888" s="77"/>
      <c r="AH888" s="77"/>
      <c r="AI888" s="77"/>
      <c r="AJ888" s="77"/>
      <c r="AK888" s="77"/>
      <c r="AL888" s="77"/>
      <c r="AM888" s="77"/>
      <c r="AN888" s="77"/>
      <c r="AO888" s="77"/>
      <c r="AP888" s="77"/>
      <c r="AQ888" s="77"/>
      <c r="AR888" s="77"/>
    </row>
    <row r="889" ht="15.75" customHeight="1">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77"/>
      <c r="AC889" s="77"/>
      <c r="AD889" s="77"/>
      <c r="AE889" s="77"/>
      <c r="AF889" s="77"/>
      <c r="AG889" s="77"/>
      <c r="AH889" s="77"/>
      <c r="AI889" s="77"/>
      <c r="AJ889" s="77"/>
      <c r="AK889" s="77"/>
      <c r="AL889" s="77"/>
      <c r="AM889" s="77"/>
      <c r="AN889" s="77"/>
      <c r="AO889" s="77"/>
      <c r="AP889" s="77"/>
      <c r="AQ889" s="77"/>
      <c r="AR889" s="77"/>
    </row>
    <row r="890" ht="15.75" customHeight="1">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77"/>
      <c r="AC890" s="77"/>
      <c r="AD890" s="77"/>
      <c r="AE890" s="77"/>
      <c r="AF890" s="77"/>
      <c r="AG890" s="77"/>
      <c r="AH890" s="77"/>
      <c r="AI890" s="77"/>
      <c r="AJ890" s="77"/>
      <c r="AK890" s="77"/>
      <c r="AL890" s="77"/>
      <c r="AM890" s="77"/>
      <c r="AN890" s="77"/>
      <c r="AO890" s="77"/>
      <c r="AP890" s="77"/>
      <c r="AQ890" s="77"/>
      <c r="AR890" s="77"/>
    </row>
    <row r="891" ht="15.75" customHeight="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c r="AB891" s="77"/>
      <c r="AC891" s="77"/>
      <c r="AD891" s="77"/>
      <c r="AE891" s="77"/>
      <c r="AF891" s="77"/>
      <c r="AG891" s="77"/>
      <c r="AH891" s="77"/>
      <c r="AI891" s="77"/>
      <c r="AJ891" s="77"/>
      <c r="AK891" s="77"/>
      <c r="AL891" s="77"/>
      <c r="AM891" s="77"/>
      <c r="AN891" s="77"/>
      <c r="AO891" s="77"/>
      <c r="AP891" s="77"/>
      <c r="AQ891" s="77"/>
      <c r="AR891" s="77"/>
    </row>
    <row r="892" ht="15.75" customHeight="1">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c r="AB892" s="77"/>
      <c r="AC892" s="77"/>
      <c r="AD892" s="77"/>
      <c r="AE892" s="77"/>
      <c r="AF892" s="77"/>
      <c r="AG892" s="77"/>
      <c r="AH892" s="77"/>
      <c r="AI892" s="77"/>
      <c r="AJ892" s="77"/>
      <c r="AK892" s="77"/>
      <c r="AL892" s="77"/>
      <c r="AM892" s="77"/>
      <c r="AN892" s="77"/>
      <c r="AO892" s="77"/>
      <c r="AP892" s="77"/>
      <c r="AQ892" s="77"/>
      <c r="AR892" s="77"/>
    </row>
    <row r="893" ht="15.75" customHeight="1">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c r="AO893" s="77"/>
      <c r="AP893" s="77"/>
      <c r="AQ893" s="77"/>
      <c r="AR893" s="77"/>
    </row>
    <row r="894" ht="15.75" customHeight="1">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c r="AB894" s="77"/>
      <c r="AC894" s="77"/>
      <c r="AD894" s="77"/>
      <c r="AE894" s="77"/>
      <c r="AF894" s="77"/>
      <c r="AG894" s="77"/>
      <c r="AH894" s="77"/>
      <c r="AI894" s="77"/>
      <c r="AJ894" s="77"/>
      <c r="AK894" s="77"/>
      <c r="AL894" s="77"/>
      <c r="AM894" s="77"/>
      <c r="AN894" s="77"/>
      <c r="AO894" s="77"/>
      <c r="AP894" s="77"/>
      <c r="AQ894" s="77"/>
      <c r="AR894" s="77"/>
    </row>
    <row r="895" ht="15.75" customHeight="1">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c r="AB895" s="77"/>
      <c r="AC895" s="77"/>
      <c r="AD895" s="77"/>
      <c r="AE895" s="77"/>
      <c r="AF895" s="77"/>
      <c r="AG895" s="77"/>
      <c r="AH895" s="77"/>
      <c r="AI895" s="77"/>
      <c r="AJ895" s="77"/>
      <c r="AK895" s="77"/>
      <c r="AL895" s="77"/>
      <c r="AM895" s="77"/>
      <c r="AN895" s="77"/>
      <c r="AO895" s="77"/>
      <c r="AP895" s="77"/>
      <c r="AQ895" s="77"/>
      <c r="AR895" s="77"/>
    </row>
    <row r="896" ht="15.75" customHeight="1">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c r="AB896" s="77"/>
      <c r="AC896" s="77"/>
      <c r="AD896" s="77"/>
      <c r="AE896" s="77"/>
      <c r="AF896" s="77"/>
      <c r="AG896" s="77"/>
      <c r="AH896" s="77"/>
      <c r="AI896" s="77"/>
      <c r="AJ896" s="77"/>
      <c r="AK896" s="77"/>
      <c r="AL896" s="77"/>
      <c r="AM896" s="77"/>
      <c r="AN896" s="77"/>
      <c r="AO896" s="77"/>
      <c r="AP896" s="77"/>
      <c r="AQ896" s="77"/>
      <c r="AR896" s="77"/>
    </row>
    <row r="897" ht="15.75" customHeight="1">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c r="AB897" s="77"/>
      <c r="AC897" s="77"/>
      <c r="AD897" s="77"/>
      <c r="AE897" s="77"/>
      <c r="AF897" s="77"/>
      <c r="AG897" s="77"/>
      <c r="AH897" s="77"/>
      <c r="AI897" s="77"/>
      <c r="AJ897" s="77"/>
      <c r="AK897" s="77"/>
      <c r="AL897" s="77"/>
      <c r="AM897" s="77"/>
      <c r="AN897" s="77"/>
      <c r="AO897" s="77"/>
      <c r="AP897" s="77"/>
      <c r="AQ897" s="77"/>
      <c r="AR897" s="77"/>
    </row>
    <row r="898" ht="15.75" customHeight="1">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c r="AB898" s="77"/>
      <c r="AC898" s="77"/>
      <c r="AD898" s="77"/>
      <c r="AE898" s="77"/>
      <c r="AF898" s="77"/>
      <c r="AG898" s="77"/>
      <c r="AH898" s="77"/>
      <c r="AI898" s="77"/>
      <c r="AJ898" s="77"/>
      <c r="AK898" s="77"/>
      <c r="AL898" s="77"/>
      <c r="AM898" s="77"/>
      <c r="AN898" s="77"/>
      <c r="AO898" s="77"/>
      <c r="AP898" s="77"/>
      <c r="AQ898" s="77"/>
      <c r="AR898" s="77"/>
    </row>
    <row r="899" ht="15.75" customHeight="1">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c r="AB899" s="77"/>
      <c r="AC899" s="77"/>
      <c r="AD899" s="77"/>
      <c r="AE899" s="77"/>
      <c r="AF899" s="77"/>
      <c r="AG899" s="77"/>
      <c r="AH899" s="77"/>
      <c r="AI899" s="77"/>
      <c r="AJ899" s="77"/>
      <c r="AK899" s="77"/>
      <c r="AL899" s="77"/>
      <c r="AM899" s="77"/>
      <c r="AN899" s="77"/>
      <c r="AO899" s="77"/>
      <c r="AP899" s="77"/>
      <c r="AQ899" s="77"/>
      <c r="AR899" s="77"/>
    </row>
    <row r="900" ht="15.75" customHeight="1">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c r="AB900" s="77"/>
      <c r="AC900" s="77"/>
      <c r="AD900" s="77"/>
      <c r="AE900" s="77"/>
      <c r="AF900" s="77"/>
      <c r="AG900" s="77"/>
      <c r="AH900" s="77"/>
      <c r="AI900" s="77"/>
      <c r="AJ900" s="77"/>
      <c r="AK900" s="77"/>
      <c r="AL900" s="77"/>
      <c r="AM900" s="77"/>
      <c r="AN900" s="77"/>
      <c r="AO900" s="77"/>
      <c r="AP900" s="77"/>
      <c r="AQ900" s="77"/>
      <c r="AR900" s="77"/>
    </row>
    <row r="901" ht="15.75" customHeight="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c r="AB901" s="77"/>
      <c r="AC901" s="77"/>
      <c r="AD901" s="77"/>
      <c r="AE901" s="77"/>
      <c r="AF901" s="77"/>
      <c r="AG901" s="77"/>
      <c r="AH901" s="77"/>
      <c r="AI901" s="77"/>
      <c r="AJ901" s="77"/>
      <c r="AK901" s="77"/>
      <c r="AL901" s="77"/>
      <c r="AM901" s="77"/>
      <c r="AN901" s="77"/>
      <c r="AO901" s="77"/>
      <c r="AP901" s="77"/>
      <c r="AQ901" s="77"/>
      <c r="AR901" s="77"/>
    </row>
    <row r="902" ht="15.75" customHeight="1">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c r="AB902" s="77"/>
      <c r="AC902" s="77"/>
      <c r="AD902" s="77"/>
      <c r="AE902" s="77"/>
      <c r="AF902" s="77"/>
      <c r="AG902" s="77"/>
      <c r="AH902" s="77"/>
      <c r="AI902" s="77"/>
      <c r="AJ902" s="77"/>
      <c r="AK902" s="77"/>
      <c r="AL902" s="77"/>
      <c r="AM902" s="77"/>
      <c r="AN902" s="77"/>
      <c r="AO902" s="77"/>
      <c r="AP902" s="77"/>
      <c r="AQ902" s="77"/>
      <c r="AR902" s="77"/>
    </row>
    <row r="903" ht="15.75" customHeight="1">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c r="AB903" s="77"/>
      <c r="AC903" s="77"/>
      <c r="AD903" s="77"/>
      <c r="AE903" s="77"/>
      <c r="AF903" s="77"/>
      <c r="AG903" s="77"/>
      <c r="AH903" s="77"/>
      <c r="AI903" s="77"/>
      <c r="AJ903" s="77"/>
      <c r="AK903" s="77"/>
      <c r="AL903" s="77"/>
      <c r="AM903" s="77"/>
      <c r="AN903" s="77"/>
      <c r="AO903" s="77"/>
      <c r="AP903" s="77"/>
      <c r="AQ903" s="77"/>
      <c r="AR903" s="77"/>
    </row>
    <row r="904" ht="15.75" customHeight="1">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c r="AB904" s="77"/>
      <c r="AC904" s="77"/>
      <c r="AD904" s="77"/>
      <c r="AE904" s="77"/>
      <c r="AF904" s="77"/>
      <c r="AG904" s="77"/>
      <c r="AH904" s="77"/>
      <c r="AI904" s="77"/>
      <c r="AJ904" s="77"/>
      <c r="AK904" s="77"/>
      <c r="AL904" s="77"/>
      <c r="AM904" s="77"/>
      <c r="AN904" s="77"/>
      <c r="AO904" s="77"/>
      <c r="AP904" s="77"/>
      <c r="AQ904" s="77"/>
      <c r="AR904" s="77"/>
    </row>
    <row r="905" ht="15.75" customHeight="1">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c r="AB905" s="77"/>
      <c r="AC905" s="77"/>
      <c r="AD905" s="77"/>
      <c r="AE905" s="77"/>
      <c r="AF905" s="77"/>
      <c r="AG905" s="77"/>
      <c r="AH905" s="77"/>
      <c r="AI905" s="77"/>
      <c r="AJ905" s="77"/>
      <c r="AK905" s="77"/>
      <c r="AL905" s="77"/>
      <c r="AM905" s="77"/>
      <c r="AN905" s="77"/>
      <c r="AO905" s="77"/>
      <c r="AP905" s="77"/>
      <c r="AQ905" s="77"/>
      <c r="AR905" s="77"/>
    </row>
    <row r="906" ht="15.75" customHeight="1">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c r="AB906" s="77"/>
      <c r="AC906" s="77"/>
      <c r="AD906" s="77"/>
      <c r="AE906" s="77"/>
      <c r="AF906" s="77"/>
      <c r="AG906" s="77"/>
      <c r="AH906" s="77"/>
      <c r="AI906" s="77"/>
      <c r="AJ906" s="77"/>
      <c r="AK906" s="77"/>
      <c r="AL906" s="77"/>
      <c r="AM906" s="77"/>
      <c r="AN906" s="77"/>
      <c r="AO906" s="77"/>
      <c r="AP906" s="77"/>
      <c r="AQ906" s="77"/>
      <c r="AR906" s="77"/>
    </row>
    <row r="907" ht="15.75" customHeight="1">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c r="AB907" s="77"/>
      <c r="AC907" s="77"/>
      <c r="AD907" s="77"/>
      <c r="AE907" s="77"/>
      <c r="AF907" s="77"/>
      <c r="AG907" s="77"/>
      <c r="AH907" s="77"/>
      <c r="AI907" s="77"/>
      <c r="AJ907" s="77"/>
      <c r="AK907" s="77"/>
      <c r="AL907" s="77"/>
      <c r="AM907" s="77"/>
      <c r="AN907" s="77"/>
      <c r="AO907" s="77"/>
      <c r="AP907" s="77"/>
      <c r="AQ907" s="77"/>
      <c r="AR907" s="77"/>
    </row>
    <row r="908" ht="15.75" customHeight="1">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c r="AB908" s="77"/>
      <c r="AC908" s="77"/>
      <c r="AD908" s="77"/>
      <c r="AE908" s="77"/>
      <c r="AF908" s="77"/>
      <c r="AG908" s="77"/>
      <c r="AH908" s="77"/>
      <c r="AI908" s="77"/>
      <c r="AJ908" s="77"/>
      <c r="AK908" s="77"/>
      <c r="AL908" s="77"/>
      <c r="AM908" s="77"/>
      <c r="AN908" s="77"/>
      <c r="AO908" s="77"/>
      <c r="AP908" s="77"/>
      <c r="AQ908" s="77"/>
      <c r="AR908" s="77"/>
    </row>
    <row r="909" ht="15.75" customHeight="1">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c r="AB909" s="77"/>
      <c r="AC909" s="77"/>
      <c r="AD909" s="77"/>
      <c r="AE909" s="77"/>
      <c r="AF909" s="77"/>
      <c r="AG909" s="77"/>
      <c r="AH909" s="77"/>
      <c r="AI909" s="77"/>
      <c r="AJ909" s="77"/>
      <c r="AK909" s="77"/>
      <c r="AL909" s="77"/>
      <c r="AM909" s="77"/>
      <c r="AN909" s="77"/>
      <c r="AO909" s="77"/>
      <c r="AP909" s="77"/>
      <c r="AQ909" s="77"/>
      <c r="AR909" s="77"/>
    </row>
    <row r="910" ht="15.75" customHeight="1">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c r="AB910" s="77"/>
      <c r="AC910" s="77"/>
      <c r="AD910" s="77"/>
      <c r="AE910" s="77"/>
      <c r="AF910" s="77"/>
      <c r="AG910" s="77"/>
      <c r="AH910" s="77"/>
      <c r="AI910" s="77"/>
      <c r="AJ910" s="77"/>
      <c r="AK910" s="77"/>
      <c r="AL910" s="77"/>
      <c r="AM910" s="77"/>
      <c r="AN910" s="77"/>
      <c r="AO910" s="77"/>
      <c r="AP910" s="77"/>
      <c r="AQ910" s="77"/>
      <c r="AR910" s="77"/>
    </row>
    <row r="911" ht="15.75" customHeight="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c r="AB911" s="77"/>
      <c r="AC911" s="77"/>
      <c r="AD911" s="77"/>
      <c r="AE911" s="77"/>
      <c r="AF911" s="77"/>
      <c r="AG911" s="77"/>
      <c r="AH911" s="77"/>
      <c r="AI911" s="77"/>
      <c r="AJ911" s="77"/>
      <c r="AK911" s="77"/>
      <c r="AL911" s="77"/>
      <c r="AM911" s="77"/>
      <c r="AN911" s="77"/>
      <c r="AO911" s="77"/>
      <c r="AP911" s="77"/>
      <c r="AQ911" s="77"/>
      <c r="AR911" s="77"/>
    </row>
    <row r="912" ht="15.75" customHeight="1">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c r="AB912" s="77"/>
      <c r="AC912" s="77"/>
      <c r="AD912" s="77"/>
      <c r="AE912" s="77"/>
      <c r="AF912" s="77"/>
      <c r="AG912" s="77"/>
      <c r="AH912" s="77"/>
      <c r="AI912" s="77"/>
      <c r="AJ912" s="77"/>
      <c r="AK912" s="77"/>
      <c r="AL912" s="77"/>
      <c r="AM912" s="77"/>
      <c r="AN912" s="77"/>
      <c r="AO912" s="77"/>
      <c r="AP912" s="77"/>
      <c r="AQ912" s="77"/>
      <c r="AR912" s="77"/>
    </row>
    <row r="913" ht="15.75" customHeight="1">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c r="AB913" s="77"/>
      <c r="AC913" s="77"/>
      <c r="AD913" s="77"/>
      <c r="AE913" s="77"/>
      <c r="AF913" s="77"/>
      <c r="AG913" s="77"/>
      <c r="AH913" s="77"/>
      <c r="AI913" s="77"/>
      <c r="AJ913" s="77"/>
      <c r="AK913" s="77"/>
      <c r="AL913" s="77"/>
      <c r="AM913" s="77"/>
      <c r="AN913" s="77"/>
      <c r="AO913" s="77"/>
      <c r="AP913" s="77"/>
      <c r="AQ913" s="77"/>
      <c r="AR913" s="77"/>
    </row>
    <row r="914" ht="15.75" customHeight="1">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c r="AB914" s="77"/>
      <c r="AC914" s="77"/>
      <c r="AD914" s="77"/>
      <c r="AE914" s="77"/>
      <c r="AF914" s="77"/>
      <c r="AG914" s="77"/>
      <c r="AH914" s="77"/>
      <c r="AI914" s="77"/>
      <c r="AJ914" s="77"/>
      <c r="AK914" s="77"/>
      <c r="AL914" s="77"/>
      <c r="AM914" s="77"/>
      <c r="AN914" s="77"/>
      <c r="AO914" s="77"/>
      <c r="AP914" s="77"/>
      <c r="AQ914" s="77"/>
      <c r="AR914" s="77"/>
    </row>
    <row r="915" ht="15.75" customHeight="1">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c r="AB915" s="77"/>
      <c r="AC915" s="77"/>
      <c r="AD915" s="77"/>
      <c r="AE915" s="77"/>
      <c r="AF915" s="77"/>
      <c r="AG915" s="77"/>
      <c r="AH915" s="77"/>
      <c r="AI915" s="77"/>
      <c r="AJ915" s="77"/>
      <c r="AK915" s="77"/>
      <c r="AL915" s="77"/>
      <c r="AM915" s="77"/>
      <c r="AN915" s="77"/>
      <c r="AO915" s="77"/>
      <c r="AP915" s="77"/>
      <c r="AQ915" s="77"/>
      <c r="AR915" s="77"/>
    </row>
    <row r="916" ht="15.75" customHeight="1">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c r="AB916" s="77"/>
      <c r="AC916" s="77"/>
      <c r="AD916" s="77"/>
      <c r="AE916" s="77"/>
      <c r="AF916" s="77"/>
      <c r="AG916" s="77"/>
      <c r="AH916" s="77"/>
      <c r="AI916" s="77"/>
      <c r="AJ916" s="77"/>
      <c r="AK916" s="77"/>
      <c r="AL916" s="77"/>
      <c r="AM916" s="77"/>
      <c r="AN916" s="77"/>
      <c r="AO916" s="77"/>
      <c r="AP916" s="77"/>
      <c r="AQ916" s="77"/>
      <c r="AR916" s="77"/>
    </row>
    <row r="917" ht="15.75" customHeight="1">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c r="AB917" s="77"/>
      <c r="AC917" s="77"/>
      <c r="AD917" s="77"/>
      <c r="AE917" s="77"/>
      <c r="AF917" s="77"/>
      <c r="AG917" s="77"/>
      <c r="AH917" s="77"/>
      <c r="AI917" s="77"/>
      <c r="AJ917" s="77"/>
      <c r="AK917" s="77"/>
      <c r="AL917" s="77"/>
      <c r="AM917" s="77"/>
      <c r="AN917" s="77"/>
      <c r="AO917" s="77"/>
      <c r="AP917" s="77"/>
      <c r="AQ917" s="77"/>
      <c r="AR917" s="77"/>
    </row>
    <row r="918" ht="15.75" customHeight="1">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c r="AB918" s="77"/>
      <c r="AC918" s="77"/>
      <c r="AD918" s="77"/>
      <c r="AE918" s="77"/>
      <c r="AF918" s="77"/>
      <c r="AG918" s="77"/>
      <c r="AH918" s="77"/>
      <c r="AI918" s="77"/>
      <c r="AJ918" s="77"/>
      <c r="AK918" s="77"/>
      <c r="AL918" s="77"/>
      <c r="AM918" s="77"/>
      <c r="AN918" s="77"/>
      <c r="AO918" s="77"/>
      <c r="AP918" s="77"/>
      <c r="AQ918" s="77"/>
      <c r="AR918" s="77"/>
    </row>
    <row r="919" ht="15.75" customHeight="1">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c r="AB919" s="77"/>
      <c r="AC919" s="77"/>
      <c r="AD919" s="77"/>
      <c r="AE919" s="77"/>
      <c r="AF919" s="77"/>
      <c r="AG919" s="77"/>
      <c r="AH919" s="77"/>
      <c r="AI919" s="77"/>
      <c r="AJ919" s="77"/>
      <c r="AK919" s="77"/>
      <c r="AL919" s="77"/>
      <c r="AM919" s="77"/>
      <c r="AN919" s="77"/>
      <c r="AO919" s="77"/>
      <c r="AP919" s="77"/>
      <c r="AQ919" s="77"/>
      <c r="AR919" s="77"/>
    </row>
    <row r="920" ht="15.75" customHeight="1">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c r="AB920" s="77"/>
      <c r="AC920" s="77"/>
      <c r="AD920" s="77"/>
      <c r="AE920" s="77"/>
      <c r="AF920" s="77"/>
      <c r="AG920" s="77"/>
      <c r="AH920" s="77"/>
      <c r="AI920" s="77"/>
      <c r="AJ920" s="77"/>
      <c r="AK920" s="77"/>
      <c r="AL920" s="77"/>
      <c r="AM920" s="77"/>
      <c r="AN920" s="77"/>
      <c r="AO920" s="77"/>
      <c r="AP920" s="77"/>
      <c r="AQ920" s="77"/>
      <c r="AR920" s="77"/>
    </row>
    <row r="921" ht="15.75" customHeight="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c r="AB921" s="77"/>
      <c r="AC921" s="77"/>
      <c r="AD921" s="77"/>
      <c r="AE921" s="77"/>
      <c r="AF921" s="77"/>
      <c r="AG921" s="77"/>
      <c r="AH921" s="77"/>
      <c r="AI921" s="77"/>
      <c r="AJ921" s="77"/>
      <c r="AK921" s="77"/>
      <c r="AL921" s="77"/>
      <c r="AM921" s="77"/>
      <c r="AN921" s="77"/>
      <c r="AO921" s="77"/>
      <c r="AP921" s="77"/>
      <c r="AQ921" s="77"/>
      <c r="AR921" s="77"/>
    </row>
    <row r="922" ht="15.75" customHeight="1">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c r="AB922" s="77"/>
      <c r="AC922" s="77"/>
      <c r="AD922" s="77"/>
      <c r="AE922" s="77"/>
      <c r="AF922" s="77"/>
      <c r="AG922" s="77"/>
      <c r="AH922" s="77"/>
      <c r="AI922" s="77"/>
      <c r="AJ922" s="77"/>
      <c r="AK922" s="77"/>
      <c r="AL922" s="77"/>
      <c r="AM922" s="77"/>
      <c r="AN922" s="77"/>
      <c r="AO922" s="77"/>
      <c r="AP922" s="77"/>
      <c r="AQ922" s="77"/>
      <c r="AR922" s="77"/>
    </row>
    <row r="923" ht="15.75" customHeight="1">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c r="AB923" s="77"/>
      <c r="AC923" s="77"/>
      <c r="AD923" s="77"/>
      <c r="AE923" s="77"/>
      <c r="AF923" s="77"/>
      <c r="AG923" s="77"/>
      <c r="AH923" s="77"/>
      <c r="AI923" s="77"/>
      <c r="AJ923" s="77"/>
      <c r="AK923" s="77"/>
      <c r="AL923" s="77"/>
      <c r="AM923" s="77"/>
      <c r="AN923" s="77"/>
      <c r="AO923" s="77"/>
      <c r="AP923" s="77"/>
      <c r="AQ923" s="77"/>
      <c r="AR923" s="77"/>
    </row>
    <row r="924" ht="15.75" customHeight="1">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c r="AB924" s="77"/>
      <c r="AC924" s="77"/>
      <c r="AD924" s="77"/>
      <c r="AE924" s="77"/>
      <c r="AF924" s="77"/>
      <c r="AG924" s="77"/>
      <c r="AH924" s="77"/>
      <c r="AI924" s="77"/>
      <c r="AJ924" s="77"/>
      <c r="AK924" s="77"/>
      <c r="AL924" s="77"/>
      <c r="AM924" s="77"/>
      <c r="AN924" s="77"/>
      <c r="AO924" s="77"/>
      <c r="AP924" s="77"/>
      <c r="AQ924" s="77"/>
      <c r="AR924" s="77"/>
    </row>
    <row r="925" ht="15.75" customHeight="1">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c r="AB925" s="77"/>
      <c r="AC925" s="77"/>
      <c r="AD925" s="77"/>
      <c r="AE925" s="77"/>
      <c r="AF925" s="77"/>
      <c r="AG925" s="77"/>
      <c r="AH925" s="77"/>
      <c r="AI925" s="77"/>
      <c r="AJ925" s="77"/>
      <c r="AK925" s="77"/>
      <c r="AL925" s="77"/>
      <c r="AM925" s="77"/>
      <c r="AN925" s="77"/>
      <c r="AO925" s="77"/>
      <c r="AP925" s="77"/>
      <c r="AQ925" s="77"/>
      <c r="AR925" s="77"/>
    </row>
    <row r="926" ht="15.75" customHeight="1">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c r="AB926" s="77"/>
      <c r="AC926" s="77"/>
      <c r="AD926" s="77"/>
      <c r="AE926" s="77"/>
      <c r="AF926" s="77"/>
      <c r="AG926" s="77"/>
      <c r="AH926" s="77"/>
      <c r="AI926" s="77"/>
      <c r="AJ926" s="77"/>
      <c r="AK926" s="77"/>
      <c r="AL926" s="77"/>
      <c r="AM926" s="77"/>
      <c r="AN926" s="77"/>
      <c r="AO926" s="77"/>
      <c r="AP926" s="77"/>
      <c r="AQ926" s="77"/>
      <c r="AR926" s="77"/>
    </row>
    <row r="927" ht="15.75" customHeight="1">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c r="AB927" s="77"/>
      <c r="AC927" s="77"/>
      <c r="AD927" s="77"/>
      <c r="AE927" s="77"/>
      <c r="AF927" s="77"/>
      <c r="AG927" s="77"/>
      <c r="AH927" s="77"/>
      <c r="AI927" s="77"/>
      <c r="AJ927" s="77"/>
      <c r="AK927" s="77"/>
      <c r="AL927" s="77"/>
      <c r="AM927" s="77"/>
      <c r="AN927" s="77"/>
      <c r="AO927" s="77"/>
      <c r="AP927" s="77"/>
      <c r="AQ927" s="77"/>
      <c r="AR927" s="77"/>
    </row>
    <row r="928" ht="15.75" customHeight="1">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c r="AB928" s="77"/>
      <c r="AC928" s="77"/>
      <c r="AD928" s="77"/>
      <c r="AE928" s="77"/>
      <c r="AF928" s="77"/>
      <c r="AG928" s="77"/>
      <c r="AH928" s="77"/>
      <c r="AI928" s="77"/>
      <c r="AJ928" s="77"/>
      <c r="AK928" s="77"/>
      <c r="AL928" s="77"/>
      <c r="AM928" s="77"/>
      <c r="AN928" s="77"/>
      <c r="AO928" s="77"/>
      <c r="AP928" s="77"/>
      <c r="AQ928" s="77"/>
      <c r="AR928" s="77"/>
    </row>
    <row r="929" ht="15.75" customHeight="1">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c r="AB929" s="77"/>
      <c r="AC929" s="77"/>
      <c r="AD929" s="77"/>
      <c r="AE929" s="77"/>
      <c r="AF929" s="77"/>
      <c r="AG929" s="77"/>
      <c r="AH929" s="77"/>
      <c r="AI929" s="77"/>
      <c r="AJ929" s="77"/>
      <c r="AK929" s="77"/>
      <c r="AL929" s="77"/>
      <c r="AM929" s="77"/>
      <c r="AN929" s="77"/>
      <c r="AO929" s="77"/>
      <c r="AP929" s="77"/>
      <c r="AQ929" s="77"/>
      <c r="AR929" s="77"/>
    </row>
    <row r="930" ht="15.75" customHeight="1">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c r="AB930" s="77"/>
      <c r="AC930" s="77"/>
      <c r="AD930" s="77"/>
      <c r="AE930" s="77"/>
      <c r="AF930" s="77"/>
      <c r="AG930" s="77"/>
      <c r="AH930" s="77"/>
      <c r="AI930" s="77"/>
      <c r="AJ930" s="77"/>
      <c r="AK930" s="77"/>
      <c r="AL930" s="77"/>
      <c r="AM930" s="77"/>
      <c r="AN930" s="77"/>
      <c r="AO930" s="77"/>
      <c r="AP930" s="77"/>
      <c r="AQ930" s="77"/>
      <c r="AR930" s="77"/>
    </row>
    <row r="931" ht="15.75" customHeight="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c r="AB931" s="77"/>
      <c r="AC931" s="77"/>
      <c r="AD931" s="77"/>
      <c r="AE931" s="77"/>
      <c r="AF931" s="77"/>
      <c r="AG931" s="77"/>
      <c r="AH931" s="77"/>
      <c r="AI931" s="77"/>
      <c r="AJ931" s="77"/>
      <c r="AK931" s="77"/>
      <c r="AL931" s="77"/>
      <c r="AM931" s="77"/>
      <c r="AN931" s="77"/>
      <c r="AO931" s="77"/>
      <c r="AP931" s="77"/>
      <c r="AQ931" s="77"/>
      <c r="AR931" s="77"/>
    </row>
    <row r="932" ht="15.75" customHeight="1">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c r="AB932" s="77"/>
      <c r="AC932" s="77"/>
      <c r="AD932" s="77"/>
      <c r="AE932" s="77"/>
      <c r="AF932" s="77"/>
      <c r="AG932" s="77"/>
      <c r="AH932" s="77"/>
      <c r="AI932" s="77"/>
      <c r="AJ932" s="77"/>
      <c r="AK932" s="77"/>
      <c r="AL932" s="77"/>
      <c r="AM932" s="77"/>
      <c r="AN932" s="77"/>
      <c r="AO932" s="77"/>
      <c r="AP932" s="77"/>
      <c r="AQ932" s="77"/>
      <c r="AR932" s="77"/>
    </row>
    <row r="933" ht="15.75" customHeight="1">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c r="AB933" s="77"/>
      <c r="AC933" s="77"/>
      <c r="AD933" s="77"/>
      <c r="AE933" s="77"/>
      <c r="AF933" s="77"/>
      <c r="AG933" s="77"/>
      <c r="AH933" s="77"/>
      <c r="AI933" s="77"/>
      <c r="AJ933" s="77"/>
      <c r="AK933" s="77"/>
      <c r="AL933" s="77"/>
      <c r="AM933" s="77"/>
      <c r="AN933" s="77"/>
      <c r="AO933" s="77"/>
      <c r="AP933" s="77"/>
      <c r="AQ933" s="77"/>
      <c r="AR933" s="77"/>
    </row>
    <row r="934" ht="15.75" customHeight="1">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c r="AB934" s="77"/>
      <c r="AC934" s="77"/>
      <c r="AD934" s="77"/>
      <c r="AE934" s="77"/>
      <c r="AF934" s="77"/>
      <c r="AG934" s="77"/>
      <c r="AH934" s="77"/>
      <c r="AI934" s="77"/>
      <c r="AJ934" s="77"/>
      <c r="AK934" s="77"/>
      <c r="AL934" s="77"/>
      <c r="AM934" s="77"/>
      <c r="AN934" s="77"/>
      <c r="AO934" s="77"/>
      <c r="AP934" s="77"/>
      <c r="AQ934" s="77"/>
      <c r="AR934" s="77"/>
    </row>
    <row r="935" ht="15.75" customHeight="1">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c r="AB935" s="77"/>
      <c r="AC935" s="77"/>
      <c r="AD935" s="77"/>
      <c r="AE935" s="77"/>
      <c r="AF935" s="77"/>
      <c r="AG935" s="77"/>
      <c r="AH935" s="77"/>
      <c r="AI935" s="77"/>
      <c r="AJ935" s="77"/>
      <c r="AK935" s="77"/>
      <c r="AL935" s="77"/>
      <c r="AM935" s="77"/>
      <c r="AN935" s="77"/>
      <c r="AO935" s="77"/>
      <c r="AP935" s="77"/>
      <c r="AQ935" s="77"/>
      <c r="AR935" s="77"/>
    </row>
    <row r="936" ht="15.75" customHeight="1">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c r="AB936" s="77"/>
      <c r="AC936" s="77"/>
      <c r="AD936" s="77"/>
      <c r="AE936" s="77"/>
      <c r="AF936" s="77"/>
      <c r="AG936" s="77"/>
      <c r="AH936" s="77"/>
      <c r="AI936" s="77"/>
      <c r="AJ936" s="77"/>
      <c r="AK936" s="77"/>
      <c r="AL936" s="77"/>
      <c r="AM936" s="77"/>
      <c r="AN936" s="77"/>
      <c r="AO936" s="77"/>
      <c r="AP936" s="77"/>
      <c r="AQ936" s="77"/>
      <c r="AR936" s="77"/>
    </row>
    <row r="937" ht="15.75" customHeight="1">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c r="AB937" s="77"/>
      <c r="AC937" s="77"/>
      <c r="AD937" s="77"/>
      <c r="AE937" s="77"/>
      <c r="AF937" s="77"/>
      <c r="AG937" s="77"/>
      <c r="AH937" s="77"/>
      <c r="AI937" s="77"/>
      <c r="AJ937" s="77"/>
      <c r="AK937" s="77"/>
      <c r="AL937" s="77"/>
      <c r="AM937" s="77"/>
      <c r="AN937" s="77"/>
      <c r="AO937" s="77"/>
      <c r="AP937" s="77"/>
      <c r="AQ937" s="77"/>
      <c r="AR937" s="77"/>
    </row>
    <row r="938" ht="15.75" customHeight="1">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c r="AB938" s="77"/>
      <c r="AC938" s="77"/>
      <c r="AD938" s="77"/>
      <c r="AE938" s="77"/>
      <c r="AF938" s="77"/>
      <c r="AG938" s="77"/>
      <c r="AH938" s="77"/>
      <c r="AI938" s="77"/>
      <c r="AJ938" s="77"/>
      <c r="AK938" s="77"/>
      <c r="AL938" s="77"/>
      <c r="AM938" s="77"/>
      <c r="AN938" s="77"/>
      <c r="AO938" s="77"/>
      <c r="AP938" s="77"/>
      <c r="AQ938" s="77"/>
      <c r="AR938" s="77"/>
    </row>
    <row r="939" ht="15.75" customHeight="1">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c r="AB939" s="77"/>
      <c r="AC939" s="77"/>
      <c r="AD939" s="77"/>
      <c r="AE939" s="77"/>
      <c r="AF939" s="77"/>
      <c r="AG939" s="77"/>
      <c r="AH939" s="77"/>
      <c r="AI939" s="77"/>
      <c r="AJ939" s="77"/>
      <c r="AK939" s="77"/>
      <c r="AL939" s="77"/>
      <c r="AM939" s="77"/>
      <c r="AN939" s="77"/>
      <c r="AO939" s="77"/>
      <c r="AP939" s="77"/>
      <c r="AQ939" s="77"/>
      <c r="AR939" s="77"/>
    </row>
    <row r="940" ht="15.75" customHeight="1">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c r="AB940" s="77"/>
      <c r="AC940" s="77"/>
      <c r="AD940" s="77"/>
      <c r="AE940" s="77"/>
      <c r="AF940" s="77"/>
      <c r="AG940" s="77"/>
      <c r="AH940" s="77"/>
      <c r="AI940" s="77"/>
      <c r="AJ940" s="77"/>
      <c r="AK940" s="77"/>
      <c r="AL940" s="77"/>
      <c r="AM940" s="77"/>
      <c r="AN940" s="77"/>
      <c r="AO940" s="77"/>
      <c r="AP940" s="77"/>
      <c r="AQ940" s="77"/>
      <c r="AR940" s="77"/>
    </row>
    <row r="941" ht="15.75" customHeight="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c r="AB941" s="77"/>
      <c r="AC941" s="77"/>
      <c r="AD941" s="77"/>
      <c r="AE941" s="77"/>
      <c r="AF941" s="77"/>
      <c r="AG941" s="77"/>
      <c r="AH941" s="77"/>
      <c r="AI941" s="77"/>
      <c r="AJ941" s="77"/>
      <c r="AK941" s="77"/>
      <c r="AL941" s="77"/>
      <c r="AM941" s="77"/>
      <c r="AN941" s="77"/>
      <c r="AO941" s="77"/>
      <c r="AP941" s="77"/>
      <c r="AQ941" s="77"/>
      <c r="AR941" s="77"/>
    </row>
    <row r="942" ht="15.75" customHeight="1">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c r="AB942" s="77"/>
      <c r="AC942" s="77"/>
      <c r="AD942" s="77"/>
      <c r="AE942" s="77"/>
      <c r="AF942" s="77"/>
      <c r="AG942" s="77"/>
      <c r="AH942" s="77"/>
      <c r="AI942" s="77"/>
      <c r="AJ942" s="77"/>
      <c r="AK942" s="77"/>
      <c r="AL942" s="77"/>
      <c r="AM942" s="77"/>
      <c r="AN942" s="77"/>
      <c r="AO942" s="77"/>
      <c r="AP942" s="77"/>
      <c r="AQ942" s="77"/>
      <c r="AR942" s="77"/>
    </row>
    <row r="943" ht="15.75" customHeight="1">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c r="AB943" s="77"/>
      <c r="AC943" s="77"/>
      <c r="AD943" s="77"/>
      <c r="AE943" s="77"/>
      <c r="AF943" s="77"/>
      <c r="AG943" s="77"/>
      <c r="AH943" s="77"/>
      <c r="AI943" s="77"/>
      <c r="AJ943" s="77"/>
      <c r="AK943" s="77"/>
      <c r="AL943" s="77"/>
      <c r="AM943" s="77"/>
      <c r="AN943" s="77"/>
      <c r="AO943" s="77"/>
      <c r="AP943" s="77"/>
      <c r="AQ943" s="77"/>
      <c r="AR943" s="77"/>
    </row>
    <row r="944" ht="15.75" customHeight="1">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c r="AB944" s="77"/>
      <c r="AC944" s="77"/>
      <c r="AD944" s="77"/>
      <c r="AE944" s="77"/>
      <c r="AF944" s="77"/>
      <c r="AG944" s="77"/>
      <c r="AH944" s="77"/>
      <c r="AI944" s="77"/>
      <c r="AJ944" s="77"/>
      <c r="AK944" s="77"/>
      <c r="AL944" s="77"/>
      <c r="AM944" s="77"/>
      <c r="AN944" s="77"/>
      <c r="AO944" s="77"/>
      <c r="AP944" s="77"/>
      <c r="AQ944" s="77"/>
      <c r="AR944" s="77"/>
    </row>
    <row r="945" ht="15.75" customHeight="1">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c r="AB945" s="77"/>
      <c r="AC945" s="77"/>
      <c r="AD945" s="77"/>
      <c r="AE945" s="77"/>
      <c r="AF945" s="77"/>
      <c r="AG945" s="77"/>
      <c r="AH945" s="77"/>
      <c r="AI945" s="77"/>
      <c r="AJ945" s="77"/>
      <c r="AK945" s="77"/>
      <c r="AL945" s="77"/>
      <c r="AM945" s="77"/>
      <c r="AN945" s="77"/>
      <c r="AO945" s="77"/>
      <c r="AP945" s="77"/>
      <c r="AQ945" s="77"/>
      <c r="AR945" s="77"/>
    </row>
    <row r="946" ht="15.75" customHeight="1">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c r="AB946" s="77"/>
      <c r="AC946" s="77"/>
      <c r="AD946" s="77"/>
      <c r="AE946" s="77"/>
      <c r="AF946" s="77"/>
      <c r="AG946" s="77"/>
      <c r="AH946" s="77"/>
      <c r="AI946" s="77"/>
      <c r="AJ946" s="77"/>
      <c r="AK946" s="77"/>
      <c r="AL946" s="77"/>
      <c r="AM946" s="77"/>
      <c r="AN946" s="77"/>
      <c r="AO946" s="77"/>
      <c r="AP946" s="77"/>
      <c r="AQ946" s="77"/>
      <c r="AR946" s="77"/>
    </row>
    <row r="947" ht="15.75" customHeight="1">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c r="AB947" s="77"/>
      <c r="AC947" s="77"/>
      <c r="AD947" s="77"/>
      <c r="AE947" s="77"/>
      <c r="AF947" s="77"/>
      <c r="AG947" s="77"/>
      <c r="AH947" s="77"/>
      <c r="AI947" s="77"/>
      <c r="AJ947" s="77"/>
      <c r="AK947" s="77"/>
      <c r="AL947" s="77"/>
      <c r="AM947" s="77"/>
      <c r="AN947" s="77"/>
      <c r="AO947" s="77"/>
      <c r="AP947" s="77"/>
      <c r="AQ947" s="77"/>
      <c r="AR947" s="77"/>
    </row>
    <row r="948" ht="15.75" customHeight="1">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c r="AB948" s="77"/>
      <c r="AC948" s="77"/>
      <c r="AD948" s="77"/>
      <c r="AE948" s="77"/>
      <c r="AF948" s="77"/>
      <c r="AG948" s="77"/>
      <c r="AH948" s="77"/>
      <c r="AI948" s="77"/>
      <c r="AJ948" s="77"/>
      <c r="AK948" s="77"/>
      <c r="AL948" s="77"/>
      <c r="AM948" s="77"/>
      <c r="AN948" s="77"/>
      <c r="AO948" s="77"/>
      <c r="AP948" s="77"/>
      <c r="AQ948" s="77"/>
      <c r="AR948" s="77"/>
    </row>
    <row r="949" ht="15.75" customHeight="1">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c r="AB949" s="77"/>
      <c r="AC949" s="77"/>
      <c r="AD949" s="77"/>
      <c r="AE949" s="77"/>
      <c r="AF949" s="77"/>
      <c r="AG949" s="77"/>
      <c r="AH949" s="77"/>
      <c r="AI949" s="77"/>
      <c r="AJ949" s="77"/>
      <c r="AK949" s="77"/>
      <c r="AL949" s="77"/>
      <c r="AM949" s="77"/>
      <c r="AN949" s="77"/>
      <c r="AO949" s="77"/>
      <c r="AP949" s="77"/>
      <c r="AQ949" s="77"/>
      <c r="AR949" s="77"/>
    </row>
    <row r="950" ht="15.75" customHeight="1">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c r="AB950" s="77"/>
      <c r="AC950" s="77"/>
      <c r="AD950" s="77"/>
      <c r="AE950" s="77"/>
      <c r="AF950" s="77"/>
      <c r="AG950" s="77"/>
      <c r="AH950" s="77"/>
      <c r="AI950" s="77"/>
      <c r="AJ950" s="77"/>
      <c r="AK950" s="77"/>
      <c r="AL950" s="77"/>
      <c r="AM950" s="77"/>
      <c r="AN950" s="77"/>
      <c r="AO950" s="77"/>
      <c r="AP950" s="77"/>
      <c r="AQ950" s="77"/>
      <c r="AR950" s="77"/>
    </row>
    <row r="951" ht="15.75" customHeight="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c r="AB951" s="77"/>
      <c r="AC951" s="77"/>
      <c r="AD951" s="77"/>
      <c r="AE951" s="77"/>
      <c r="AF951" s="77"/>
      <c r="AG951" s="77"/>
      <c r="AH951" s="77"/>
      <c r="AI951" s="77"/>
      <c r="AJ951" s="77"/>
      <c r="AK951" s="77"/>
      <c r="AL951" s="77"/>
      <c r="AM951" s="77"/>
      <c r="AN951" s="77"/>
      <c r="AO951" s="77"/>
      <c r="AP951" s="77"/>
      <c r="AQ951" s="77"/>
      <c r="AR951" s="77"/>
    </row>
    <row r="952" ht="15.75" customHeight="1">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c r="AB952" s="77"/>
      <c r="AC952" s="77"/>
      <c r="AD952" s="77"/>
      <c r="AE952" s="77"/>
      <c r="AF952" s="77"/>
      <c r="AG952" s="77"/>
      <c r="AH952" s="77"/>
      <c r="AI952" s="77"/>
      <c r="AJ952" s="77"/>
      <c r="AK952" s="77"/>
      <c r="AL952" s="77"/>
      <c r="AM952" s="77"/>
      <c r="AN952" s="77"/>
      <c r="AO952" s="77"/>
      <c r="AP952" s="77"/>
      <c r="AQ952" s="77"/>
      <c r="AR952" s="77"/>
    </row>
    <row r="953" ht="15.75" customHeight="1">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c r="AB953" s="77"/>
      <c r="AC953" s="77"/>
      <c r="AD953" s="77"/>
      <c r="AE953" s="77"/>
      <c r="AF953" s="77"/>
      <c r="AG953" s="77"/>
      <c r="AH953" s="77"/>
      <c r="AI953" s="77"/>
      <c r="AJ953" s="77"/>
      <c r="AK953" s="77"/>
      <c r="AL953" s="77"/>
      <c r="AM953" s="77"/>
      <c r="AN953" s="77"/>
      <c r="AO953" s="77"/>
      <c r="AP953" s="77"/>
      <c r="AQ953" s="77"/>
      <c r="AR953" s="77"/>
    </row>
    <row r="954" ht="15.75" customHeight="1">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c r="AB954" s="77"/>
      <c r="AC954" s="77"/>
      <c r="AD954" s="77"/>
      <c r="AE954" s="77"/>
      <c r="AF954" s="77"/>
      <c r="AG954" s="77"/>
      <c r="AH954" s="77"/>
      <c r="AI954" s="77"/>
      <c r="AJ954" s="77"/>
      <c r="AK954" s="77"/>
      <c r="AL954" s="77"/>
      <c r="AM954" s="77"/>
      <c r="AN954" s="77"/>
      <c r="AO954" s="77"/>
      <c r="AP954" s="77"/>
      <c r="AQ954" s="77"/>
      <c r="AR954" s="77"/>
    </row>
    <row r="955" ht="15.75" customHeight="1">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c r="AB955" s="77"/>
      <c r="AC955" s="77"/>
      <c r="AD955" s="77"/>
      <c r="AE955" s="77"/>
      <c r="AF955" s="77"/>
      <c r="AG955" s="77"/>
      <c r="AH955" s="77"/>
      <c r="AI955" s="77"/>
      <c r="AJ955" s="77"/>
      <c r="AK955" s="77"/>
      <c r="AL955" s="77"/>
      <c r="AM955" s="77"/>
      <c r="AN955" s="77"/>
      <c r="AO955" s="77"/>
      <c r="AP955" s="77"/>
      <c r="AQ955" s="77"/>
      <c r="AR955" s="77"/>
    </row>
    <row r="956" ht="15.75" customHeight="1">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c r="AB956" s="77"/>
      <c r="AC956" s="77"/>
      <c r="AD956" s="77"/>
      <c r="AE956" s="77"/>
      <c r="AF956" s="77"/>
      <c r="AG956" s="77"/>
      <c r="AH956" s="77"/>
      <c r="AI956" s="77"/>
      <c r="AJ956" s="77"/>
      <c r="AK956" s="77"/>
      <c r="AL956" s="77"/>
      <c r="AM956" s="77"/>
      <c r="AN956" s="77"/>
      <c r="AO956" s="77"/>
      <c r="AP956" s="77"/>
      <c r="AQ956" s="77"/>
      <c r="AR956" s="77"/>
    </row>
    <row r="957" ht="15.75" customHeight="1">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c r="AB957" s="77"/>
      <c r="AC957" s="77"/>
      <c r="AD957" s="77"/>
      <c r="AE957" s="77"/>
      <c r="AF957" s="77"/>
      <c r="AG957" s="77"/>
      <c r="AH957" s="77"/>
      <c r="AI957" s="77"/>
      <c r="AJ957" s="77"/>
      <c r="AK957" s="77"/>
      <c r="AL957" s="77"/>
      <c r="AM957" s="77"/>
      <c r="AN957" s="77"/>
      <c r="AO957" s="77"/>
      <c r="AP957" s="77"/>
      <c r="AQ957" s="77"/>
      <c r="AR957" s="77"/>
    </row>
    <row r="958" ht="15.75" customHeight="1">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c r="AB958" s="77"/>
      <c r="AC958" s="77"/>
      <c r="AD958" s="77"/>
      <c r="AE958" s="77"/>
      <c r="AF958" s="77"/>
      <c r="AG958" s="77"/>
      <c r="AH958" s="77"/>
      <c r="AI958" s="77"/>
      <c r="AJ958" s="77"/>
      <c r="AK958" s="77"/>
      <c r="AL958" s="77"/>
      <c r="AM958" s="77"/>
      <c r="AN958" s="77"/>
      <c r="AO958" s="77"/>
      <c r="AP958" s="77"/>
      <c r="AQ958" s="77"/>
      <c r="AR958" s="77"/>
    </row>
    <row r="959" ht="15.75" customHeight="1">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c r="AB959" s="77"/>
      <c r="AC959" s="77"/>
      <c r="AD959" s="77"/>
      <c r="AE959" s="77"/>
      <c r="AF959" s="77"/>
      <c r="AG959" s="77"/>
      <c r="AH959" s="77"/>
      <c r="AI959" s="77"/>
      <c r="AJ959" s="77"/>
      <c r="AK959" s="77"/>
      <c r="AL959" s="77"/>
      <c r="AM959" s="77"/>
      <c r="AN959" s="77"/>
      <c r="AO959" s="77"/>
      <c r="AP959" s="77"/>
      <c r="AQ959" s="77"/>
      <c r="AR959" s="77"/>
    </row>
    <row r="960" ht="15.75" customHeight="1">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c r="AB960" s="77"/>
      <c r="AC960" s="77"/>
      <c r="AD960" s="77"/>
      <c r="AE960" s="77"/>
      <c r="AF960" s="77"/>
      <c r="AG960" s="77"/>
      <c r="AH960" s="77"/>
      <c r="AI960" s="77"/>
      <c r="AJ960" s="77"/>
      <c r="AK960" s="77"/>
      <c r="AL960" s="77"/>
      <c r="AM960" s="77"/>
      <c r="AN960" s="77"/>
      <c r="AO960" s="77"/>
      <c r="AP960" s="77"/>
      <c r="AQ960" s="77"/>
      <c r="AR960" s="77"/>
    </row>
    <row r="961" ht="15.75" customHeight="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c r="AB961" s="77"/>
      <c r="AC961" s="77"/>
      <c r="AD961" s="77"/>
      <c r="AE961" s="77"/>
      <c r="AF961" s="77"/>
      <c r="AG961" s="77"/>
      <c r="AH961" s="77"/>
      <c r="AI961" s="77"/>
      <c r="AJ961" s="77"/>
      <c r="AK961" s="77"/>
      <c r="AL961" s="77"/>
      <c r="AM961" s="77"/>
      <c r="AN961" s="77"/>
      <c r="AO961" s="77"/>
      <c r="AP961" s="77"/>
      <c r="AQ961" s="77"/>
      <c r="AR961" s="77"/>
    </row>
    <row r="962" ht="15.75" customHeight="1">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c r="AB962" s="77"/>
      <c r="AC962" s="77"/>
      <c r="AD962" s="77"/>
      <c r="AE962" s="77"/>
      <c r="AF962" s="77"/>
      <c r="AG962" s="77"/>
      <c r="AH962" s="77"/>
      <c r="AI962" s="77"/>
      <c r="AJ962" s="77"/>
      <c r="AK962" s="77"/>
      <c r="AL962" s="77"/>
      <c r="AM962" s="77"/>
      <c r="AN962" s="77"/>
      <c r="AO962" s="77"/>
      <c r="AP962" s="77"/>
      <c r="AQ962" s="77"/>
      <c r="AR962" s="77"/>
    </row>
    <row r="963" ht="15.75" customHeight="1">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c r="AB963" s="77"/>
      <c r="AC963" s="77"/>
      <c r="AD963" s="77"/>
      <c r="AE963" s="77"/>
      <c r="AF963" s="77"/>
      <c r="AG963" s="77"/>
      <c r="AH963" s="77"/>
      <c r="AI963" s="77"/>
      <c r="AJ963" s="77"/>
      <c r="AK963" s="77"/>
      <c r="AL963" s="77"/>
      <c r="AM963" s="77"/>
      <c r="AN963" s="77"/>
      <c r="AO963" s="77"/>
      <c r="AP963" s="77"/>
      <c r="AQ963" s="77"/>
      <c r="AR963" s="77"/>
    </row>
    <row r="964" ht="15.75" customHeight="1">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c r="AB964" s="77"/>
      <c r="AC964" s="77"/>
      <c r="AD964" s="77"/>
      <c r="AE964" s="77"/>
      <c r="AF964" s="77"/>
      <c r="AG964" s="77"/>
      <c r="AH964" s="77"/>
      <c r="AI964" s="77"/>
      <c r="AJ964" s="77"/>
      <c r="AK964" s="77"/>
      <c r="AL964" s="77"/>
      <c r="AM964" s="77"/>
      <c r="AN964" s="77"/>
      <c r="AO964" s="77"/>
      <c r="AP964" s="77"/>
      <c r="AQ964" s="77"/>
      <c r="AR964" s="77"/>
    </row>
    <row r="965" ht="15.75" customHeight="1">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c r="AB965" s="77"/>
      <c r="AC965" s="77"/>
      <c r="AD965" s="77"/>
      <c r="AE965" s="77"/>
      <c r="AF965" s="77"/>
      <c r="AG965" s="77"/>
      <c r="AH965" s="77"/>
      <c r="AI965" s="77"/>
      <c r="AJ965" s="77"/>
      <c r="AK965" s="77"/>
      <c r="AL965" s="77"/>
      <c r="AM965" s="77"/>
      <c r="AN965" s="77"/>
      <c r="AO965" s="77"/>
      <c r="AP965" s="77"/>
      <c r="AQ965" s="77"/>
      <c r="AR965" s="77"/>
    </row>
    <row r="966" ht="15.75" customHeight="1">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c r="AB966" s="77"/>
      <c r="AC966" s="77"/>
      <c r="AD966" s="77"/>
      <c r="AE966" s="77"/>
      <c r="AF966" s="77"/>
      <c r="AG966" s="77"/>
      <c r="AH966" s="77"/>
      <c r="AI966" s="77"/>
      <c r="AJ966" s="77"/>
      <c r="AK966" s="77"/>
      <c r="AL966" s="77"/>
      <c r="AM966" s="77"/>
      <c r="AN966" s="77"/>
      <c r="AO966" s="77"/>
      <c r="AP966" s="77"/>
      <c r="AQ966" s="77"/>
      <c r="AR966" s="77"/>
    </row>
    <row r="967" ht="15.75" customHeight="1">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c r="AB967" s="77"/>
      <c r="AC967" s="77"/>
      <c r="AD967" s="77"/>
      <c r="AE967" s="77"/>
      <c r="AF967" s="77"/>
      <c r="AG967" s="77"/>
      <c r="AH967" s="77"/>
      <c r="AI967" s="77"/>
      <c r="AJ967" s="77"/>
      <c r="AK967" s="77"/>
      <c r="AL967" s="77"/>
      <c r="AM967" s="77"/>
      <c r="AN967" s="77"/>
      <c r="AO967" s="77"/>
      <c r="AP967" s="77"/>
      <c r="AQ967" s="77"/>
      <c r="AR967" s="77"/>
    </row>
    <row r="968" ht="15.75" customHeight="1">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c r="AB968" s="77"/>
      <c r="AC968" s="77"/>
      <c r="AD968" s="77"/>
      <c r="AE968" s="77"/>
      <c r="AF968" s="77"/>
      <c r="AG968" s="77"/>
      <c r="AH968" s="77"/>
      <c r="AI968" s="77"/>
      <c r="AJ968" s="77"/>
      <c r="AK968" s="77"/>
      <c r="AL968" s="77"/>
      <c r="AM968" s="77"/>
      <c r="AN968" s="77"/>
      <c r="AO968" s="77"/>
      <c r="AP968" s="77"/>
      <c r="AQ968" s="77"/>
      <c r="AR968" s="77"/>
    </row>
    <row r="969" ht="15.75" customHeight="1">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c r="AB969" s="77"/>
      <c r="AC969" s="77"/>
      <c r="AD969" s="77"/>
      <c r="AE969" s="77"/>
      <c r="AF969" s="77"/>
      <c r="AG969" s="77"/>
      <c r="AH969" s="77"/>
      <c r="AI969" s="77"/>
      <c r="AJ969" s="77"/>
      <c r="AK969" s="77"/>
      <c r="AL969" s="77"/>
      <c r="AM969" s="77"/>
      <c r="AN969" s="77"/>
      <c r="AO969" s="77"/>
      <c r="AP969" s="77"/>
      <c r="AQ969" s="77"/>
      <c r="AR969" s="77"/>
    </row>
    <row r="970" ht="15.75" customHeight="1">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c r="AB970" s="77"/>
      <c r="AC970" s="77"/>
      <c r="AD970" s="77"/>
      <c r="AE970" s="77"/>
      <c r="AF970" s="77"/>
      <c r="AG970" s="77"/>
      <c r="AH970" s="77"/>
      <c r="AI970" s="77"/>
      <c r="AJ970" s="77"/>
      <c r="AK970" s="77"/>
      <c r="AL970" s="77"/>
      <c r="AM970" s="77"/>
      <c r="AN970" s="77"/>
      <c r="AO970" s="77"/>
      <c r="AP970" s="77"/>
      <c r="AQ970" s="77"/>
      <c r="AR970" s="77"/>
    </row>
    <row r="971" ht="15.75" customHeight="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c r="AB971" s="77"/>
      <c r="AC971" s="77"/>
      <c r="AD971" s="77"/>
      <c r="AE971" s="77"/>
      <c r="AF971" s="77"/>
      <c r="AG971" s="77"/>
      <c r="AH971" s="77"/>
      <c r="AI971" s="77"/>
      <c r="AJ971" s="77"/>
      <c r="AK971" s="77"/>
      <c r="AL971" s="77"/>
      <c r="AM971" s="77"/>
      <c r="AN971" s="77"/>
      <c r="AO971" s="77"/>
      <c r="AP971" s="77"/>
      <c r="AQ971" s="77"/>
      <c r="AR971" s="77"/>
    </row>
    <row r="972" ht="15.75" customHeight="1">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c r="AB972" s="77"/>
      <c r="AC972" s="77"/>
      <c r="AD972" s="77"/>
      <c r="AE972" s="77"/>
      <c r="AF972" s="77"/>
      <c r="AG972" s="77"/>
      <c r="AH972" s="77"/>
      <c r="AI972" s="77"/>
      <c r="AJ972" s="77"/>
      <c r="AK972" s="77"/>
      <c r="AL972" s="77"/>
      <c r="AM972" s="77"/>
      <c r="AN972" s="77"/>
      <c r="AO972" s="77"/>
      <c r="AP972" s="77"/>
      <c r="AQ972" s="77"/>
      <c r="AR972" s="77"/>
    </row>
    <row r="973" ht="15.75" customHeight="1">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c r="AB973" s="77"/>
      <c r="AC973" s="77"/>
      <c r="AD973" s="77"/>
      <c r="AE973" s="77"/>
      <c r="AF973" s="77"/>
      <c r="AG973" s="77"/>
      <c r="AH973" s="77"/>
      <c r="AI973" s="77"/>
      <c r="AJ973" s="77"/>
      <c r="AK973" s="77"/>
      <c r="AL973" s="77"/>
      <c r="AM973" s="77"/>
      <c r="AN973" s="77"/>
      <c r="AO973" s="77"/>
      <c r="AP973" s="77"/>
      <c r="AQ973" s="77"/>
      <c r="AR973" s="77"/>
    </row>
    <row r="974" ht="15.75" customHeight="1">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c r="AB974" s="77"/>
      <c r="AC974" s="77"/>
      <c r="AD974" s="77"/>
      <c r="AE974" s="77"/>
      <c r="AF974" s="77"/>
      <c r="AG974" s="77"/>
      <c r="AH974" s="77"/>
      <c r="AI974" s="77"/>
      <c r="AJ974" s="77"/>
      <c r="AK974" s="77"/>
      <c r="AL974" s="77"/>
      <c r="AM974" s="77"/>
      <c r="AN974" s="77"/>
      <c r="AO974" s="77"/>
      <c r="AP974" s="77"/>
      <c r="AQ974" s="77"/>
      <c r="AR974" s="77"/>
    </row>
    <row r="975" ht="15.75" customHeight="1">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c r="AB975" s="77"/>
      <c r="AC975" s="77"/>
      <c r="AD975" s="77"/>
      <c r="AE975" s="77"/>
      <c r="AF975" s="77"/>
      <c r="AG975" s="77"/>
      <c r="AH975" s="77"/>
      <c r="AI975" s="77"/>
      <c r="AJ975" s="77"/>
      <c r="AK975" s="77"/>
      <c r="AL975" s="77"/>
      <c r="AM975" s="77"/>
      <c r="AN975" s="77"/>
      <c r="AO975" s="77"/>
      <c r="AP975" s="77"/>
      <c r="AQ975" s="77"/>
      <c r="AR975" s="77"/>
    </row>
    <row r="976" ht="15.75" customHeight="1">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c r="AB976" s="77"/>
      <c r="AC976" s="77"/>
      <c r="AD976" s="77"/>
      <c r="AE976" s="77"/>
      <c r="AF976" s="77"/>
      <c r="AG976" s="77"/>
      <c r="AH976" s="77"/>
      <c r="AI976" s="77"/>
      <c r="AJ976" s="77"/>
      <c r="AK976" s="77"/>
      <c r="AL976" s="77"/>
      <c r="AM976" s="77"/>
      <c r="AN976" s="77"/>
      <c r="AO976" s="77"/>
      <c r="AP976" s="77"/>
      <c r="AQ976" s="77"/>
      <c r="AR976" s="77"/>
    </row>
    <row r="977" ht="15.75" customHeight="1">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c r="AB977" s="77"/>
      <c r="AC977" s="77"/>
      <c r="AD977" s="77"/>
      <c r="AE977" s="77"/>
      <c r="AF977" s="77"/>
      <c r="AG977" s="77"/>
      <c r="AH977" s="77"/>
      <c r="AI977" s="77"/>
      <c r="AJ977" s="77"/>
      <c r="AK977" s="77"/>
      <c r="AL977" s="77"/>
      <c r="AM977" s="77"/>
      <c r="AN977" s="77"/>
      <c r="AO977" s="77"/>
      <c r="AP977" s="77"/>
      <c r="AQ977" s="77"/>
      <c r="AR977" s="77"/>
    </row>
    <row r="978" ht="15.75" customHeight="1">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c r="AB978" s="77"/>
      <c r="AC978" s="77"/>
      <c r="AD978" s="77"/>
      <c r="AE978" s="77"/>
      <c r="AF978" s="77"/>
      <c r="AG978" s="77"/>
      <c r="AH978" s="77"/>
      <c r="AI978" s="77"/>
      <c r="AJ978" s="77"/>
      <c r="AK978" s="77"/>
      <c r="AL978" s="77"/>
      <c r="AM978" s="77"/>
      <c r="AN978" s="77"/>
      <c r="AO978" s="77"/>
      <c r="AP978" s="77"/>
      <c r="AQ978" s="77"/>
      <c r="AR978" s="77"/>
    </row>
    <row r="979" ht="15.75" customHeight="1">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c r="AB979" s="77"/>
      <c r="AC979" s="77"/>
      <c r="AD979" s="77"/>
      <c r="AE979" s="77"/>
      <c r="AF979" s="77"/>
      <c r="AG979" s="77"/>
      <c r="AH979" s="77"/>
      <c r="AI979" s="77"/>
      <c r="AJ979" s="77"/>
      <c r="AK979" s="77"/>
      <c r="AL979" s="77"/>
      <c r="AM979" s="77"/>
      <c r="AN979" s="77"/>
      <c r="AO979" s="77"/>
      <c r="AP979" s="77"/>
      <c r="AQ979" s="77"/>
      <c r="AR979" s="77"/>
    </row>
    <row r="980" ht="15.75" customHeight="1">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c r="AB980" s="77"/>
      <c r="AC980" s="77"/>
      <c r="AD980" s="77"/>
      <c r="AE980" s="77"/>
      <c r="AF980" s="77"/>
      <c r="AG980" s="77"/>
      <c r="AH980" s="77"/>
      <c r="AI980" s="77"/>
      <c r="AJ980" s="77"/>
      <c r="AK980" s="77"/>
      <c r="AL980" s="77"/>
      <c r="AM980" s="77"/>
      <c r="AN980" s="77"/>
      <c r="AO980" s="77"/>
      <c r="AP980" s="77"/>
      <c r="AQ980" s="77"/>
      <c r="AR980" s="77"/>
    </row>
    <row r="981" ht="15.75" customHeight="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c r="AB981" s="77"/>
      <c r="AC981" s="77"/>
      <c r="AD981" s="77"/>
      <c r="AE981" s="77"/>
      <c r="AF981" s="77"/>
      <c r="AG981" s="77"/>
      <c r="AH981" s="77"/>
      <c r="AI981" s="77"/>
      <c r="AJ981" s="77"/>
      <c r="AK981" s="77"/>
      <c r="AL981" s="77"/>
      <c r="AM981" s="77"/>
      <c r="AN981" s="77"/>
      <c r="AO981" s="77"/>
      <c r="AP981" s="77"/>
      <c r="AQ981" s="77"/>
      <c r="AR981" s="77"/>
    </row>
    <row r="982" ht="15.75" customHeight="1">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c r="AB982" s="77"/>
      <c r="AC982" s="77"/>
      <c r="AD982" s="77"/>
      <c r="AE982" s="77"/>
      <c r="AF982" s="77"/>
      <c r="AG982" s="77"/>
      <c r="AH982" s="77"/>
      <c r="AI982" s="77"/>
      <c r="AJ982" s="77"/>
      <c r="AK982" s="77"/>
      <c r="AL982" s="77"/>
      <c r="AM982" s="77"/>
      <c r="AN982" s="77"/>
      <c r="AO982" s="77"/>
      <c r="AP982" s="77"/>
      <c r="AQ982" s="77"/>
      <c r="AR982" s="77"/>
    </row>
    <row r="983" ht="15.75" customHeight="1">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c r="AB983" s="77"/>
      <c r="AC983" s="77"/>
      <c r="AD983" s="77"/>
      <c r="AE983" s="77"/>
      <c r="AF983" s="77"/>
      <c r="AG983" s="77"/>
      <c r="AH983" s="77"/>
      <c r="AI983" s="77"/>
      <c r="AJ983" s="77"/>
      <c r="AK983" s="77"/>
      <c r="AL983" s="77"/>
      <c r="AM983" s="77"/>
      <c r="AN983" s="77"/>
      <c r="AO983" s="77"/>
      <c r="AP983" s="77"/>
      <c r="AQ983" s="77"/>
      <c r="AR983" s="77"/>
    </row>
    <row r="984" ht="15.75" customHeight="1">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c r="AB984" s="77"/>
      <c r="AC984" s="77"/>
      <c r="AD984" s="77"/>
      <c r="AE984" s="77"/>
      <c r="AF984" s="77"/>
      <c r="AG984" s="77"/>
      <c r="AH984" s="77"/>
      <c r="AI984" s="77"/>
      <c r="AJ984" s="77"/>
      <c r="AK984" s="77"/>
      <c r="AL984" s="77"/>
      <c r="AM984" s="77"/>
      <c r="AN984" s="77"/>
      <c r="AO984" s="77"/>
      <c r="AP984" s="77"/>
      <c r="AQ984" s="77"/>
      <c r="AR984" s="77"/>
    </row>
    <row r="985" ht="15.75" customHeight="1">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c r="AB985" s="77"/>
      <c r="AC985" s="77"/>
      <c r="AD985" s="77"/>
      <c r="AE985" s="77"/>
      <c r="AF985" s="77"/>
      <c r="AG985" s="77"/>
      <c r="AH985" s="77"/>
      <c r="AI985" s="77"/>
      <c r="AJ985" s="77"/>
      <c r="AK985" s="77"/>
      <c r="AL985" s="77"/>
      <c r="AM985" s="77"/>
      <c r="AN985" s="77"/>
      <c r="AO985" s="77"/>
      <c r="AP985" s="77"/>
      <c r="AQ985" s="77"/>
      <c r="AR985" s="77"/>
    </row>
    <row r="986" ht="15.75" customHeight="1">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c r="AB986" s="77"/>
      <c r="AC986" s="77"/>
      <c r="AD986" s="77"/>
      <c r="AE986" s="77"/>
      <c r="AF986" s="77"/>
      <c r="AG986" s="77"/>
      <c r="AH986" s="77"/>
      <c r="AI986" s="77"/>
      <c r="AJ986" s="77"/>
      <c r="AK986" s="77"/>
      <c r="AL986" s="77"/>
      <c r="AM986" s="77"/>
      <c r="AN986" s="77"/>
      <c r="AO986" s="77"/>
      <c r="AP986" s="77"/>
      <c r="AQ986" s="77"/>
      <c r="AR986" s="77"/>
    </row>
    <row r="987" ht="15.75" customHeight="1">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c r="AB987" s="77"/>
      <c r="AC987" s="77"/>
      <c r="AD987" s="77"/>
      <c r="AE987" s="77"/>
      <c r="AF987" s="77"/>
      <c r="AG987" s="77"/>
      <c r="AH987" s="77"/>
      <c r="AI987" s="77"/>
      <c r="AJ987" s="77"/>
      <c r="AK987" s="77"/>
      <c r="AL987" s="77"/>
      <c r="AM987" s="77"/>
      <c r="AN987" s="77"/>
      <c r="AO987" s="77"/>
      <c r="AP987" s="77"/>
      <c r="AQ987" s="77"/>
      <c r="AR987" s="77"/>
    </row>
    <row r="988" ht="15.75" customHeight="1">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c r="AB988" s="77"/>
      <c r="AC988" s="77"/>
      <c r="AD988" s="77"/>
      <c r="AE988" s="77"/>
      <c r="AF988" s="77"/>
      <c r="AG988" s="77"/>
      <c r="AH988" s="77"/>
      <c r="AI988" s="77"/>
      <c r="AJ988" s="77"/>
      <c r="AK988" s="77"/>
      <c r="AL988" s="77"/>
      <c r="AM988" s="77"/>
      <c r="AN988" s="77"/>
      <c r="AO988" s="77"/>
      <c r="AP988" s="77"/>
      <c r="AQ988" s="77"/>
      <c r="AR988" s="77"/>
    </row>
    <row r="989" ht="15.75" customHeight="1">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c r="AB989" s="77"/>
      <c r="AC989" s="77"/>
      <c r="AD989" s="77"/>
      <c r="AE989" s="77"/>
      <c r="AF989" s="77"/>
      <c r="AG989" s="77"/>
      <c r="AH989" s="77"/>
      <c r="AI989" s="77"/>
      <c r="AJ989" s="77"/>
      <c r="AK989" s="77"/>
      <c r="AL989" s="77"/>
      <c r="AM989" s="77"/>
      <c r="AN989" s="77"/>
      <c r="AO989" s="77"/>
      <c r="AP989" s="77"/>
      <c r="AQ989" s="77"/>
      <c r="AR989" s="77"/>
    </row>
    <row r="990" ht="15.75" customHeight="1">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c r="AB990" s="77"/>
      <c r="AC990" s="77"/>
      <c r="AD990" s="77"/>
      <c r="AE990" s="77"/>
      <c r="AF990" s="77"/>
      <c r="AG990" s="77"/>
      <c r="AH990" s="77"/>
      <c r="AI990" s="77"/>
      <c r="AJ990" s="77"/>
      <c r="AK990" s="77"/>
      <c r="AL990" s="77"/>
      <c r="AM990" s="77"/>
      <c r="AN990" s="77"/>
      <c r="AO990" s="77"/>
      <c r="AP990" s="77"/>
      <c r="AQ990" s="77"/>
      <c r="AR990" s="77"/>
    </row>
    <row r="991" ht="15.75" customHeight="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c r="AB991" s="77"/>
      <c r="AC991" s="77"/>
      <c r="AD991" s="77"/>
      <c r="AE991" s="77"/>
      <c r="AF991" s="77"/>
      <c r="AG991" s="77"/>
      <c r="AH991" s="77"/>
      <c r="AI991" s="77"/>
      <c r="AJ991" s="77"/>
      <c r="AK991" s="77"/>
      <c r="AL991" s="77"/>
      <c r="AM991" s="77"/>
      <c r="AN991" s="77"/>
      <c r="AO991" s="77"/>
      <c r="AP991" s="77"/>
      <c r="AQ991" s="77"/>
      <c r="AR991" s="77"/>
    </row>
    <row r="992" ht="15.75" customHeight="1">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c r="AB992" s="77"/>
      <c r="AC992" s="77"/>
      <c r="AD992" s="77"/>
      <c r="AE992" s="77"/>
      <c r="AF992" s="77"/>
      <c r="AG992" s="77"/>
      <c r="AH992" s="77"/>
      <c r="AI992" s="77"/>
      <c r="AJ992" s="77"/>
      <c r="AK992" s="77"/>
      <c r="AL992" s="77"/>
      <c r="AM992" s="77"/>
      <c r="AN992" s="77"/>
      <c r="AO992" s="77"/>
      <c r="AP992" s="77"/>
      <c r="AQ992" s="77"/>
      <c r="AR992" s="77"/>
    </row>
    <row r="993" ht="15.75" customHeight="1">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c r="AB993" s="77"/>
      <c r="AC993" s="77"/>
      <c r="AD993" s="77"/>
      <c r="AE993" s="77"/>
      <c r="AF993" s="77"/>
      <c r="AG993" s="77"/>
      <c r="AH993" s="77"/>
      <c r="AI993" s="77"/>
      <c r="AJ993" s="77"/>
      <c r="AK993" s="77"/>
      <c r="AL993" s="77"/>
      <c r="AM993" s="77"/>
      <c r="AN993" s="77"/>
      <c r="AO993" s="77"/>
      <c r="AP993" s="77"/>
      <c r="AQ993" s="77"/>
      <c r="AR993" s="77"/>
    </row>
    <row r="994" ht="15.75" customHeight="1">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c r="AB994" s="77"/>
      <c r="AC994" s="77"/>
      <c r="AD994" s="77"/>
      <c r="AE994" s="77"/>
      <c r="AF994" s="77"/>
      <c r="AG994" s="77"/>
      <c r="AH994" s="77"/>
      <c r="AI994" s="77"/>
      <c r="AJ994" s="77"/>
      <c r="AK994" s="77"/>
      <c r="AL994" s="77"/>
      <c r="AM994" s="77"/>
      <c r="AN994" s="77"/>
      <c r="AO994" s="77"/>
      <c r="AP994" s="77"/>
      <c r="AQ994" s="77"/>
      <c r="AR994" s="77"/>
    </row>
    <row r="995" ht="15.75" customHeight="1">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c r="AB995" s="77"/>
      <c r="AC995" s="77"/>
      <c r="AD995" s="77"/>
      <c r="AE995" s="77"/>
      <c r="AF995" s="77"/>
      <c r="AG995" s="77"/>
      <c r="AH995" s="77"/>
      <c r="AI995" s="77"/>
      <c r="AJ995" s="77"/>
      <c r="AK995" s="77"/>
      <c r="AL995" s="77"/>
      <c r="AM995" s="77"/>
      <c r="AN995" s="77"/>
      <c r="AO995" s="77"/>
      <c r="AP995" s="77"/>
      <c r="AQ995" s="77"/>
      <c r="AR995" s="77"/>
    </row>
    <row r="996" ht="15.75" customHeight="1">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c r="AB996" s="77"/>
      <c r="AC996" s="77"/>
      <c r="AD996" s="77"/>
      <c r="AE996" s="77"/>
      <c r="AF996" s="77"/>
      <c r="AG996" s="77"/>
      <c r="AH996" s="77"/>
      <c r="AI996" s="77"/>
      <c r="AJ996" s="77"/>
      <c r="AK996" s="77"/>
      <c r="AL996" s="77"/>
      <c r="AM996" s="77"/>
      <c r="AN996" s="77"/>
      <c r="AO996" s="77"/>
      <c r="AP996" s="77"/>
      <c r="AQ996" s="77"/>
      <c r="AR996" s="77"/>
    </row>
    <row r="997" ht="15.75" customHeight="1">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c r="AB997" s="77"/>
      <c r="AC997" s="77"/>
      <c r="AD997" s="77"/>
      <c r="AE997" s="77"/>
      <c r="AF997" s="77"/>
      <c r="AG997" s="77"/>
      <c r="AH997" s="77"/>
      <c r="AI997" s="77"/>
      <c r="AJ997" s="77"/>
      <c r="AK997" s="77"/>
      <c r="AL997" s="77"/>
      <c r="AM997" s="77"/>
      <c r="AN997" s="77"/>
      <c r="AO997" s="77"/>
      <c r="AP997" s="77"/>
      <c r="AQ997" s="77"/>
      <c r="AR997" s="77"/>
    </row>
    <row r="998" ht="15.75" customHeight="1">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row>
    <row r="999" ht="15.75" customHeight="1">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row>
    <row r="1000" ht="15.75" customHeight="1">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c r="AB1000" s="77"/>
      <c r="AC1000" s="77"/>
      <c r="AD1000" s="77"/>
      <c r="AE1000" s="77"/>
      <c r="AF1000" s="77"/>
      <c r="AG1000" s="77"/>
      <c r="AH1000" s="77"/>
      <c r="AI1000" s="77"/>
      <c r="AJ1000" s="77"/>
      <c r="AK1000" s="77"/>
      <c r="AL1000" s="77"/>
      <c r="AM1000" s="77"/>
      <c r="AN1000" s="77"/>
      <c r="AO1000" s="77"/>
      <c r="AP1000" s="77"/>
      <c r="AQ1000" s="77"/>
      <c r="AR1000" s="77"/>
    </row>
  </sheetData>
  <mergeCells count="43">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 ref="Z3:Z4"/>
    <mergeCell ref="AA3:AA4"/>
    <mergeCell ref="AB3:AB4"/>
    <mergeCell ref="AC3:AC4"/>
    <mergeCell ref="AK3:AK4"/>
    <mergeCell ref="AL3:AL4"/>
    <mergeCell ref="AM3:AM4"/>
    <mergeCell ref="AN3:AN4"/>
    <mergeCell ref="AO3:AO4"/>
    <mergeCell ref="AP3:AP4"/>
    <mergeCell ref="AQ3:AQ4"/>
    <mergeCell ref="AR3:AR4"/>
    <mergeCell ref="AD3:AD4"/>
    <mergeCell ref="AE3:AE4"/>
    <mergeCell ref="AF3:AF4"/>
    <mergeCell ref="AG3:AG4"/>
    <mergeCell ref="AH3:AH4"/>
    <mergeCell ref="AI3:AI4"/>
    <mergeCell ref="AJ3:AJ4"/>
  </mergeCells>
  <conditionalFormatting sqref="C5:AR17">
    <cfRule type="expression" dxfId="0" priority="1" stopIfTrue="1">
      <formula>C5-B5&lt;0</formula>
    </cfRule>
  </conditionalFormatting>
  <printOptions/>
  <pageMargins bottom="0.75" footer="0.0" header="0.0" left="0.7000000000000001" right="0.7000000000000001" top="0.75"/>
  <pageSetup orientation="landscape"/>
  <drawing r:id="rId1"/>
</worksheet>
</file>